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2"/>
  </bookViews>
  <sheets>
    <sheet name="表2－1" sheetId="1" r:id="rId1"/>
    <sheet name="表2－2" sheetId="2" r:id="rId2"/>
    <sheet name="表2－3" sheetId="3" r:id="rId3"/>
    <sheet name="表2－4" sheetId="4" r:id="rId4"/>
  </sheets>
  <definedNames/>
  <calcPr fullCalcOnLoad="1"/>
</workbook>
</file>

<file path=xl/sharedStrings.xml><?xml version="1.0" encoding="utf-8"?>
<sst xmlns="http://schemas.openxmlformats.org/spreadsheetml/2006/main" count="185" uniqueCount="157">
  <si>
    <t>小计</t>
  </si>
  <si>
    <t>人工</t>
  </si>
  <si>
    <t>%</t>
  </si>
  <si>
    <t>内　　容</t>
  </si>
  <si>
    <t>总    计</t>
  </si>
  <si>
    <t>地下</t>
  </si>
  <si>
    <t>电气</t>
  </si>
  <si>
    <t>单位</t>
  </si>
  <si>
    <t>t</t>
  </si>
  <si>
    <t>……</t>
  </si>
  <si>
    <t>电线</t>
  </si>
  <si>
    <t>m</t>
  </si>
  <si>
    <t>电缆</t>
  </si>
  <si>
    <t>电气管</t>
  </si>
  <si>
    <t>给、排水管</t>
  </si>
  <si>
    <t>暖气管</t>
  </si>
  <si>
    <t>燃气管</t>
  </si>
  <si>
    <t>序号</t>
  </si>
  <si>
    <t>名称</t>
  </si>
  <si>
    <t>总消耗量</t>
  </si>
  <si>
    <t>工日</t>
  </si>
  <si>
    <t>水泥</t>
  </si>
  <si>
    <t>名   称</t>
  </si>
  <si>
    <t>强电</t>
  </si>
  <si>
    <t>%</t>
  </si>
  <si>
    <t>小计</t>
  </si>
  <si>
    <r>
      <t>m</t>
    </r>
    <r>
      <rPr>
        <vertAlign val="superscript"/>
        <sz val="10"/>
        <rFont val="宋体"/>
        <family val="0"/>
      </rPr>
      <t>3</t>
    </r>
  </si>
  <si>
    <r>
      <t>m</t>
    </r>
    <r>
      <rPr>
        <vertAlign val="superscript"/>
        <sz val="10"/>
        <rFont val="宋体"/>
        <family val="0"/>
      </rPr>
      <t>2</t>
    </r>
  </si>
  <si>
    <t>工程地点</t>
  </si>
  <si>
    <t>开工日期</t>
  </si>
  <si>
    <t>竣工日期</t>
  </si>
  <si>
    <r>
      <t>建筑面积(m</t>
    </r>
    <r>
      <rPr>
        <b/>
        <vertAlign val="superscript"/>
        <sz val="9"/>
        <rFont val="宋体"/>
        <family val="0"/>
      </rPr>
      <t>2</t>
    </r>
    <r>
      <rPr>
        <b/>
        <sz val="9"/>
        <rFont val="宋体"/>
        <family val="0"/>
      </rPr>
      <t>)</t>
    </r>
  </si>
  <si>
    <t>建安造价(万元)</t>
  </si>
  <si>
    <r>
      <t>平米造价(元/m</t>
    </r>
    <r>
      <rPr>
        <b/>
        <vertAlign val="superscript"/>
        <sz val="9"/>
        <rFont val="宋体"/>
        <family val="0"/>
      </rPr>
      <t>2</t>
    </r>
    <r>
      <rPr>
        <b/>
        <sz val="9"/>
        <rFont val="宋体"/>
        <family val="0"/>
      </rPr>
      <t>)</t>
    </r>
  </si>
  <si>
    <t>计价方式</t>
  </si>
  <si>
    <t>合同计价类型</t>
  </si>
  <si>
    <t>地上层数</t>
  </si>
  <si>
    <t>地下层数</t>
  </si>
  <si>
    <t>标准层高(m)</t>
  </si>
  <si>
    <t>檐高(m)</t>
  </si>
  <si>
    <t>结构类型</t>
  </si>
  <si>
    <t>抗震设防烈度</t>
  </si>
  <si>
    <t>建       筑      工      程</t>
  </si>
  <si>
    <t>基础类型/深度</t>
  </si>
  <si>
    <t>外墙类型</t>
  </si>
  <si>
    <t>内墙类型</t>
  </si>
  <si>
    <t>地面面层</t>
  </si>
  <si>
    <t>屋面防水、保温</t>
  </si>
  <si>
    <t>门窗</t>
  </si>
  <si>
    <t>墙面保温隔热</t>
  </si>
  <si>
    <t>内装修</t>
  </si>
  <si>
    <t>外装修</t>
  </si>
  <si>
    <t>安        装          工         程</t>
  </si>
  <si>
    <t>给水</t>
  </si>
  <si>
    <t>排水</t>
  </si>
  <si>
    <t>空调、采暖</t>
  </si>
  <si>
    <t>燃气</t>
  </si>
  <si>
    <t>强电</t>
  </si>
  <si>
    <t>弱电</t>
  </si>
  <si>
    <t>电梯</t>
  </si>
  <si>
    <t>消防工程</t>
  </si>
  <si>
    <t>楼宇智能</t>
  </si>
  <si>
    <t>其他说明事项</t>
  </si>
  <si>
    <t>工程项目编号：</t>
  </si>
  <si>
    <t>建
筑
工
程</t>
  </si>
  <si>
    <t>基础（包括桩基础）</t>
  </si>
  <si>
    <t>地上</t>
  </si>
  <si>
    <t>安
装
工
程</t>
  </si>
  <si>
    <t>给水排水</t>
  </si>
  <si>
    <t>弱电</t>
  </si>
  <si>
    <t>空调、采暖</t>
  </si>
  <si>
    <t>燃气</t>
  </si>
  <si>
    <t>电梯</t>
  </si>
  <si>
    <t>楼宇智能</t>
  </si>
  <si>
    <t>装饰工程</t>
  </si>
  <si>
    <t xml:space="preserve">          费用                                                                                                    项目</t>
  </si>
  <si>
    <t>平米造价</t>
  </si>
  <si>
    <t>人工费</t>
  </si>
  <si>
    <t>材料费</t>
  </si>
  <si>
    <t>机械费</t>
  </si>
  <si>
    <t>措施费</t>
  </si>
  <si>
    <t>规费</t>
  </si>
  <si>
    <t>企业管理费</t>
  </si>
  <si>
    <t>利润</t>
  </si>
  <si>
    <t>税金</t>
  </si>
  <si>
    <t>项目名称</t>
  </si>
  <si>
    <t>单位</t>
  </si>
  <si>
    <t>工程量</t>
  </si>
  <si>
    <t>每百平方米工程量</t>
  </si>
  <si>
    <t>备注</t>
  </si>
  <si>
    <t>基础
（桩基础）</t>
  </si>
  <si>
    <t>土石方</t>
  </si>
  <si>
    <t>混凝土</t>
  </si>
  <si>
    <t>钢筋</t>
  </si>
  <si>
    <t>模板</t>
  </si>
  <si>
    <t>建        筑</t>
  </si>
  <si>
    <t>土石方</t>
  </si>
  <si>
    <t>砌体</t>
  </si>
  <si>
    <t>门窗</t>
  </si>
  <si>
    <t>屋面</t>
  </si>
  <si>
    <t>楼地面</t>
  </si>
  <si>
    <t>内墙面</t>
  </si>
  <si>
    <t>外墙面</t>
  </si>
  <si>
    <t>……</t>
  </si>
  <si>
    <t>安       装</t>
  </si>
  <si>
    <r>
      <t>m</t>
    </r>
    <r>
      <rPr>
        <vertAlign val="superscript"/>
        <sz val="10"/>
        <rFont val="宋体"/>
        <family val="0"/>
      </rPr>
      <t>3</t>
    </r>
  </si>
  <si>
    <r>
      <t>m</t>
    </r>
    <r>
      <rPr>
        <vertAlign val="superscript"/>
        <sz val="10"/>
        <rFont val="宋体"/>
        <family val="0"/>
      </rPr>
      <t>3</t>
    </r>
  </si>
  <si>
    <t>t</t>
  </si>
  <si>
    <r>
      <t>m</t>
    </r>
    <r>
      <rPr>
        <vertAlign val="superscript"/>
        <sz val="10"/>
        <rFont val="宋体"/>
        <family val="0"/>
      </rPr>
      <t>2</t>
    </r>
  </si>
  <si>
    <t>砂</t>
  </si>
  <si>
    <t>t</t>
  </si>
  <si>
    <t>石子</t>
  </si>
  <si>
    <t>钢筋</t>
  </si>
  <si>
    <t>商品混凝土</t>
  </si>
  <si>
    <t>m3</t>
  </si>
  <si>
    <t>钢管</t>
  </si>
  <si>
    <t>型钢</t>
  </si>
  <si>
    <t>电线</t>
  </si>
  <si>
    <t>m</t>
  </si>
  <si>
    <t>电缆</t>
  </si>
  <si>
    <t>7度</t>
  </si>
  <si>
    <t>固定价格合同</t>
  </si>
  <si>
    <t>市政自来水干管上引入，生活给水、消防给水</t>
  </si>
  <si>
    <t xml:space="preserve">污水、雨水、空调冷凝水 </t>
  </si>
  <si>
    <t xml:space="preserve">无 </t>
  </si>
  <si>
    <t>现浇框架</t>
  </si>
  <si>
    <t>消防</t>
  </si>
  <si>
    <t>镇江新区港南路南侧、瑞山路西侧</t>
  </si>
  <si>
    <t>08清单规范，04定额</t>
  </si>
  <si>
    <t>局部一层</t>
  </si>
  <si>
    <t>预制桩、C30承台及地梁</t>
  </si>
  <si>
    <t>MU10.0砼加气砌块</t>
  </si>
  <si>
    <t>MU10.0砼加气砌块及轻质隔墙</t>
  </si>
  <si>
    <t>卷材防水、挤塑板保温、40厚细石砼</t>
  </si>
  <si>
    <t>钢化中空玻璃</t>
  </si>
  <si>
    <t>玻璃幕墙及石材</t>
  </si>
  <si>
    <t>膨胀玻化微珠保温板</t>
  </si>
  <si>
    <t>乳胶漆</t>
  </si>
  <si>
    <t>VRV空调</t>
  </si>
  <si>
    <t>由小区变电所采用低压电缆直埋引入，空调动力、普通照明、应急照明、潜污泵等</t>
  </si>
  <si>
    <t>客梯</t>
  </si>
  <si>
    <t>消火栓系统</t>
  </si>
  <si>
    <t>综合布线、有线电视、监控、门禁、周界报警、背景音乐、会议</t>
  </si>
  <si>
    <t>内装</t>
  </si>
  <si>
    <t>外幕墙</t>
  </si>
  <si>
    <t>石材、地砖、木地板</t>
  </si>
  <si>
    <t>每百平方米消耗量</t>
  </si>
  <si>
    <t>某综合楼工程概况表
（江苏天衡工程咨询管理有限公司）</t>
  </si>
  <si>
    <t>工程项目名称：某综合楼  </t>
  </si>
  <si>
    <t>桩基础</t>
  </si>
  <si>
    <t>m</t>
  </si>
  <si>
    <r>
      <t>工程项目名称：某综合楼                 工程项目编号：  </t>
    </r>
  </si>
  <si>
    <t>某综合楼项目
人工及主要材料（半成品）消耗量表</t>
  </si>
  <si>
    <t> 某综合楼工程项目主要工程量表</t>
  </si>
  <si>
    <t>工程项目名称：某综合楼</t>
  </si>
  <si>
    <r>
      <t>工程项目名称：某综合楼                                    工程项目编号：                                     单位:元/m</t>
    </r>
    <r>
      <rPr>
        <b/>
        <vertAlign val="superscript"/>
        <sz val="10"/>
        <rFont val="宋体"/>
        <family val="0"/>
      </rPr>
      <t>2</t>
    </r>
  </si>
  <si>
    <t>某综合楼项目造价分析表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</si>
</sst>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0_ "/>
    <numFmt numFmtId="189" formatCode="0.00000000_ "/>
    <numFmt numFmtId="190" formatCode="0.0000000_ "/>
    <numFmt numFmtId="191" formatCode="0.000000_ "/>
    <numFmt numFmtId="192" formatCode="0.00000_ "/>
    <numFmt numFmtId="193" formatCode="0.00_ "/>
    <numFmt numFmtId="194" formatCode="0.00_);[Red]\(0.00\)"/>
    <numFmt numFmtId="195" formatCode="0.0%"/>
    <numFmt numFmtId="196" formatCode="0.0_ "/>
    <numFmt numFmtId="197" formatCode="0_ "/>
  </numFmts>
  <fonts count="46">
    <font>
      <sz val="12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vertAlign val="superscript"/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vertAlign val="superscript"/>
      <sz val="9"/>
      <name val="宋体"/>
      <family val="0"/>
    </font>
    <font>
      <b/>
      <vertAlign val="superscript"/>
      <sz val="10"/>
      <name val="宋体"/>
      <family val="0"/>
    </font>
    <font>
      <b/>
      <sz val="11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10" fontId="0" fillId="0" borderId="0" xfId="0" applyNumberFormat="1" applyAlignment="1">
      <alignment vertical="center"/>
    </xf>
    <xf numFmtId="193" fontId="0" fillId="0" borderId="0" xfId="0" applyNumberFormat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 vertical="center"/>
    </xf>
    <xf numFmtId="193" fontId="2" fillId="0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31" fontId="2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93" fontId="2" fillId="0" borderId="10" xfId="0" applyNumberFormat="1" applyFont="1" applyFill="1" applyBorder="1" applyAlignment="1">
      <alignment horizontal="center" vertical="center" wrapText="1"/>
    </xf>
    <xf numFmtId="193" fontId="0" fillId="0" borderId="10" xfId="0" applyNumberForma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/>
    </xf>
    <xf numFmtId="0" fontId="4" fillId="33" borderId="19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0" fillId="0" borderId="0" xfId="0" applyFill="1" applyAlignment="1">
      <alignment vertical="center"/>
    </xf>
    <xf numFmtId="10" fontId="2" fillId="0" borderId="10" xfId="0" applyNumberFormat="1" applyFont="1" applyFill="1" applyBorder="1" applyAlignment="1">
      <alignment horizontal="center" vertical="center" wrapText="1"/>
    </xf>
    <xf numFmtId="193" fontId="0" fillId="0" borderId="0" xfId="0" applyNumberFormat="1" applyFill="1" applyAlignment="1">
      <alignment vertical="center"/>
    </xf>
    <xf numFmtId="9" fontId="2" fillId="0" borderId="10" xfId="0" applyNumberFormat="1" applyFont="1" applyFill="1" applyBorder="1" applyAlignment="1">
      <alignment horizontal="center" vertical="center" wrapText="1"/>
    </xf>
    <xf numFmtId="197" fontId="2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195" fontId="2" fillId="0" borderId="10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193" fontId="5" fillId="0" borderId="10" xfId="0" applyNumberFormat="1" applyFont="1" applyFill="1" applyBorder="1" applyAlignment="1">
      <alignment horizontal="center" vertical="center" wrapText="1"/>
    </xf>
    <xf numFmtId="194" fontId="5" fillId="0" borderId="10" xfId="0" applyNumberFormat="1" applyFont="1" applyFill="1" applyBorder="1" applyAlignment="1">
      <alignment horizontal="center" vertical="center" wrapText="1"/>
    </xf>
    <xf numFmtId="188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22">
      <selection activeCell="C14" sqref="C14:D14"/>
    </sheetView>
  </sheetViews>
  <sheetFormatPr defaultColWidth="9.00390625" defaultRowHeight="10.5" customHeight="1"/>
  <cols>
    <col min="1" max="1" width="4.375" style="1" customWidth="1"/>
    <col min="2" max="2" width="13.625" style="1" customWidth="1"/>
    <col min="3" max="3" width="32.50390625" style="1" customWidth="1"/>
    <col min="4" max="4" width="66.00390625" style="1" customWidth="1"/>
    <col min="5" max="16384" width="9.00390625" style="1" customWidth="1"/>
  </cols>
  <sheetData>
    <row r="1" spans="1:4" ht="31.5" customHeight="1">
      <c r="A1" s="14" t="s">
        <v>147</v>
      </c>
      <c r="B1" s="14"/>
      <c r="C1" s="14"/>
      <c r="D1" s="14"/>
    </row>
    <row r="2" spans="1:4" ht="23.25" customHeight="1">
      <c r="A2" s="23" t="s">
        <v>148</v>
      </c>
      <c r="B2" s="24"/>
      <c r="C2" s="25"/>
      <c r="D2" s="7" t="s">
        <v>63</v>
      </c>
    </row>
    <row r="3" spans="1:4" ht="15" customHeight="1">
      <c r="A3" s="13" t="s">
        <v>22</v>
      </c>
      <c r="B3" s="13"/>
      <c r="C3" s="13" t="s">
        <v>3</v>
      </c>
      <c r="D3" s="15"/>
    </row>
    <row r="4" spans="1:4" ht="15" customHeight="1">
      <c r="A4" s="13" t="s">
        <v>28</v>
      </c>
      <c r="B4" s="13"/>
      <c r="C4" s="16" t="s">
        <v>127</v>
      </c>
      <c r="D4" s="17"/>
    </row>
    <row r="5" spans="1:4" ht="15" customHeight="1">
      <c r="A5" s="13" t="s">
        <v>29</v>
      </c>
      <c r="B5" s="13"/>
      <c r="C5" s="18">
        <v>40549</v>
      </c>
      <c r="D5" s="17"/>
    </row>
    <row r="6" spans="1:4" ht="15" customHeight="1">
      <c r="A6" s="13" t="s">
        <v>30</v>
      </c>
      <c r="B6" s="13"/>
      <c r="C6" s="18">
        <v>41609</v>
      </c>
      <c r="D6" s="17"/>
    </row>
    <row r="7" spans="1:4" ht="15" customHeight="1">
      <c r="A7" s="13" t="s">
        <v>31</v>
      </c>
      <c r="B7" s="13"/>
      <c r="C7" s="19">
        <v>9428.2</v>
      </c>
      <c r="D7" s="20"/>
    </row>
    <row r="8" spans="1:4" ht="15" customHeight="1">
      <c r="A8" s="13" t="s">
        <v>32</v>
      </c>
      <c r="B8" s="13"/>
      <c r="C8" s="19">
        <f>22719305+8355313+10992922+1053000</f>
        <v>43120540</v>
      </c>
      <c r="D8" s="20"/>
    </row>
    <row r="9" spans="1:4" ht="15" customHeight="1">
      <c r="A9" s="13" t="s">
        <v>33</v>
      </c>
      <c r="B9" s="13"/>
      <c r="C9" s="21">
        <f>C8/C7</f>
        <v>4573.57077703061</v>
      </c>
      <c r="D9" s="22"/>
    </row>
    <row r="10" spans="1:4" ht="15" customHeight="1">
      <c r="A10" s="13" t="s">
        <v>34</v>
      </c>
      <c r="B10" s="13"/>
      <c r="C10" s="19" t="s">
        <v>128</v>
      </c>
      <c r="D10" s="20"/>
    </row>
    <row r="11" spans="1:4" ht="15" customHeight="1">
      <c r="A11" s="13" t="s">
        <v>35</v>
      </c>
      <c r="B11" s="13"/>
      <c r="C11" s="19" t="s">
        <v>121</v>
      </c>
      <c r="D11" s="20"/>
    </row>
    <row r="12" spans="1:4" ht="15" customHeight="1">
      <c r="A12" s="13" t="s">
        <v>36</v>
      </c>
      <c r="B12" s="13"/>
      <c r="C12" s="19">
        <v>6</v>
      </c>
      <c r="D12" s="20"/>
    </row>
    <row r="13" spans="1:4" ht="15" customHeight="1">
      <c r="A13" s="13" t="s">
        <v>37</v>
      </c>
      <c r="B13" s="13"/>
      <c r="C13" s="19" t="s">
        <v>129</v>
      </c>
      <c r="D13" s="20"/>
    </row>
    <row r="14" spans="1:4" ht="15" customHeight="1">
      <c r="A14" s="13" t="s">
        <v>38</v>
      </c>
      <c r="B14" s="13"/>
      <c r="C14" s="19">
        <v>3.6</v>
      </c>
      <c r="D14" s="20"/>
    </row>
    <row r="15" spans="1:4" ht="15" customHeight="1">
      <c r="A15" s="13" t="s">
        <v>39</v>
      </c>
      <c r="B15" s="13"/>
      <c r="C15" s="19">
        <v>23.9</v>
      </c>
      <c r="D15" s="20"/>
    </row>
    <row r="16" spans="1:4" ht="15" customHeight="1">
      <c r="A16" s="13" t="s">
        <v>40</v>
      </c>
      <c r="B16" s="13"/>
      <c r="C16" s="19" t="s">
        <v>125</v>
      </c>
      <c r="D16" s="20"/>
    </row>
    <row r="17" spans="1:4" ht="15" customHeight="1">
      <c r="A17" s="13" t="s">
        <v>41</v>
      </c>
      <c r="B17" s="13"/>
      <c r="C17" s="19" t="s">
        <v>120</v>
      </c>
      <c r="D17" s="20"/>
    </row>
    <row r="18" spans="1:4" ht="15" customHeight="1">
      <c r="A18" s="13" t="s">
        <v>42</v>
      </c>
      <c r="B18" s="4" t="s">
        <v>43</v>
      </c>
      <c r="C18" s="19" t="s">
        <v>130</v>
      </c>
      <c r="D18" s="20"/>
    </row>
    <row r="19" spans="1:4" ht="15" customHeight="1">
      <c r="A19" s="13"/>
      <c r="B19" s="4" t="s">
        <v>44</v>
      </c>
      <c r="C19" s="19" t="s">
        <v>131</v>
      </c>
      <c r="D19" s="20"/>
    </row>
    <row r="20" spans="1:4" ht="15" customHeight="1">
      <c r="A20" s="13"/>
      <c r="B20" s="4" t="s">
        <v>45</v>
      </c>
      <c r="C20" s="19" t="s">
        <v>132</v>
      </c>
      <c r="D20" s="20"/>
    </row>
    <row r="21" spans="1:4" ht="15" customHeight="1">
      <c r="A21" s="13"/>
      <c r="B21" s="4" t="s">
        <v>46</v>
      </c>
      <c r="C21" s="19" t="s">
        <v>145</v>
      </c>
      <c r="D21" s="20"/>
    </row>
    <row r="22" spans="1:4" ht="15" customHeight="1">
      <c r="A22" s="13"/>
      <c r="B22" s="4" t="s">
        <v>47</v>
      </c>
      <c r="C22" s="19" t="s">
        <v>133</v>
      </c>
      <c r="D22" s="20"/>
    </row>
    <row r="23" spans="1:4" ht="15" customHeight="1">
      <c r="A23" s="13"/>
      <c r="B23" s="4" t="s">
        <v>48</v>
      </c>
      <c r="C23" s="19" t="s">
        <v>134</v>
      </c>
      <c r="D23" s="20"/>
    </row>
    <row r="24" spans="1:4" ht="15" customHeight="1">
      <c r="A24" s="13"/>
      <c r="B24" s="4" t="s">
        <v>49</v>
      </c>
      <c r="C24" s="19" t="s">
        <v>136</v>
      </c>
      <c r="D24" s="20"/>
    </row>
    <row r="25" spans="1:4" ht="15" customHeight="1">
      <c r="A25" s="13"/>
      <c r="B25" s="4" t="s">
        <v>50</v>
      </c>
      <c r="C25" s="19" t="s">
        <v>137</v>
      </c>
      <c r="D25" s="20"/>
    </row>
    <row r="26" spans="1:4" ht="15" customHeight="1">
      <c r="A26" s="13"/>
      <c r="B26" s="4" t="s">
        <v>51</v>
      </c>
      <c r="C26" s="19" t="s">
        <v>135</v>
      </c>
      <c r="D26" s="20"/>
    </row>
    <row r="27" spans="1:4" ht="15" customHeight="1">
      <c r="A27" s="13" t="s">
        <v>52</v>
      </c>
      <c r="B27" s="4" t="s">
        <v>53</v>
      </c>
      <c r="C27" s="19" t="s">
        <v>122</v>
      </c>
      <c r="D27" s="20"/>
    </row>
    <row r="28" spans="1:4" ht="15" customHeight="1">
      <c r="A28" s="15"/>
      <c r="B28" s="4" t="s">
        <v>54</v>
      </c>
      <c r="C28" s="19" t="s">
        <v>123</v>
      </c>
      <c r="D28" s="20"/>
    </row>
    <row r="29" spans="1:4" ht="15" customHeight="1">
      <c r="A29" s="15"/>
      <c r="B29" s="4" t="s">
        <v>55</v>
      </c>
      <c r="C29" s="19" t="s">
        <v>138</v>
      </c>
      <c r="D29" s="20"/>
    </row>
    <row r="30" spans="1:4" ht="15" customHeight="1">
      <c r="A30" s="15"/>
      <c r="B30" s="4" t="s">
        <v>56</v>
      </c>
      <c r="C30" s="19" t="s">
        <v>124</v>
      </c>
      <c r="D30" s="20"/>
    </row>
    <row r="31" spans="1:4" ht="15" customHeight="1">
      <c r="A31" s="15"/>
      <c r="B31" s="4" t="s">
        <v>57</v>
      </c>
      <c r="C31" s="19" t="s">
        <v>139</v>
      </c>
      <c r="D31" s="20"/>
    </row>
    <row r="32" spans="1:4" ht="15" customHeight="1">
      <c r="A32" s="15"/>
      <c r="B32" s="4" t="s">
        <v>58</v>
      </c>
      <c r="C32" s="19" t="s">
        <v>142</v>
      </c>
      <c r="D32" s="20"/>
    </row>
    <row r="33" spans="1:4" ht="15" customHeight="1">
      <c r="A33" s="15"/>
      <c r="B33" s="4" t="s">
        <v>59</v>
      </c>
      <c r="C33" s="26" t="s">
        <v>140</v>
      </c>
      <c r="D33" s="27"/>
    </row>
    <row r="34" spans="1:4" ht="15" customHeight="1">
      <c r="A34" s="15"/>
      <c r="B34" s="4" t="s">
        <v>60</v>
      </c>
      <c r="C34" s="19" t="s">
        <v>141</v>
      </c>
      <c r="D34" s="20"/>
    </row>
    <row r="35" spans="1:4" ht="15" customHeight="1">
      <c r="A35" s="15"/>
      <c r="B35" s="4" t="s">
        <v>61</v>
      </c>
      <c r="C35" s="19"/>
      <c r="D35" s="20"/>
    </row>
    <row r="36" spans="1:4" ht="15" customHeight="1">
      <c r="A36" s="13" t="s">
        <v>62</v>
      </c>
      <c r="B36" s="13"/>
      <c r="C36" s="19"/>
      <c r="D36" s="20"/>
    </row>
  </sheetData>
  <sheetProtection/>
  <mergeCells count="54">
    <mergeCell ref="C34:D34"/>
    <mergeCell ref="C35:D35"/>
    <mergeCell ref="C36:D36"/>
    <mergeCell ref="A2:C2"/>
    <mergeCell ref="C30:D30"/>
    <mergeCell ref="C31:D31"/>
    <mergeCell ref="C32:D32"/>
    <mergeCell ref="C33:D33"/>
    <mergeCell ref="C26:D26"/>
    <mergeCell ref="C27:D27"/>
    <mergeCell ref="C28:D28"/>
    <mergeCell ref="C29:D29"/>
    <mergeCell ref="C22:D22"/>
    <mergeCell ref="C23:D23"/>
    <mergeCell ref="C24:D24"/>
    <mergeCell ref="C25:D25"/>
    <mergeCell ref="C18:D18"/>
    <mergeCell ref="C19:D19"/>
    <mergeCell ref="C20:D20"/>
    <mergeCell ref="C21:D21"/>
    <mergeCell ref="C14:D14"/>
    <mergeCell ref="C15:D15"/>
    <mergeCell ref="C16:D16"/>
    <mergeCell ref="C17:D17"/>
    <mergeCell ref="C10:D10"/>
    <mergeCell ref="C11:D11"/>
    <mergeCell ref="C12:D12"/>
    <mergeCell ref="C13:D13"/>
    <mergeCell ref="C6:D6"/>
    <mergeCell ref="C7:D7"/>
    <mergeCell ref="C8:D8"/>
    <mergeCell ref="C9:D9"/>
    <mergeCell ref="A18:A26"/>
    <mergeCell ref="A36:B36"/>
    <mergeCell ref="A14:B14"/>
    <mergeCell ref="A15:B15"/>
    <mergeCell ref="A16:B16"/>
    <mergeCell ref="A17:B17"/>
    <mergeCell ref="A27:A35"/>
    <mergeCell ref="A10:B10"/>
    <mergeCell ref="A11:B11"/>
    <mergeCell ref="A12:B12"/>
    <mergeCell ref="A13:B13"/>
    <mergeCell ref="A6:B6"/>
    <mergeCell ref="A7:B7"/>
    <mergeCell ref="A8:B8"/>
    <mergeCell ref="A9:B9"/>
    <mergeCell ref="A3:B3"/>
    <mergeCell ref="A4:B4"/>
    <mergeCell ref="A5:B5"/>
    <mergeCell ref="A1:D1"/>
    <mergeCell ref="C3:D3"/>
    <mergeCell ref="C4:D4"/>
    <mergeCell ref="C5:D5"/>
  </mergeCells>
  <printOptions/>
  <pageMargins left="0.6692913385826772" right="0.5511811023622047" top="0.4724409448818898" bottom="0.472440944881889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4"/>
  <sheetViews>
    <sheetView zoomScalePageLayoutView="0" workbookViewId="0" topLeftCell="A1">
      <pane xSplit="3" ySplit="5" topLeftCell="D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7" sqref="D7"/>
    </sheetView>
  </sheetViews>
  <sheetFormatPr defaultColWidth="9.00390625" defaultRowHeight="14.25"/>
  <cols>
    <col min="1" max="1" width="6.625" style="0" customWidth="1"/>
    <col min="2" max="2" width="3.875" style="0" customWidth="1"/>
    <col min="3" max="3" width="5.875" style="0" customWidth="1"/>
    <col min="4" max="4" width="9.125" style="0" customWidth="1"/>
    <col min="5" max="5" width="9.50390625" style="0" customWidth="1"/>
    <col min="6" max="6" width="7.875" style="0" customWidth="1"/>
    <col min="7" max="7" width="10.375" style="0" customWidth="1"/>
    <col min="8" max="8" width="6.125" style="0" customWidth="1"/>
    <col min="9" max="9" width="8.625" style="0" customWidth="1"/>
    <col min="10" max="10" width="6.875" style="0" customWidth="1"/>
    <col min="11" max="11" width="9.375" style="0" customWidth="1"/>
    <col min="12" max="12" width="8.75390625" style="0" customWidth="1"/>
    <col min="13" max="13" width="9.375" style="0" customWidth="1"/>
    <col min="14" max="14" width="6.875" style="0" customWidth="1"/>
    <col min="15" max="15" width="8.75390625" style="0" customWidth="1"/>
    <col min="16" max="16" width="7.00390625" style="0" customWidth="1"/>
    <col min="17" max="17" width="8.25390625" style="0" customWidth="1"/>
    <col min="18" max="18" width="7.00390625" style="0" customWidth="1"/>
    <col min="19" max="19" width="8.375" style="0" customWidth="1"/>
    <col min="20" max="20" width="8.125" style="0" customWidth="1"/>
    <col min="21" max="21" width="9.50390625" style="0" bestFit="1" customWidth="1"/>
  </cols>
  <sheetData>
    <row r="1" spans="1:20" ht="34.5" customHeight="1">
      <c r="A1" s="14" t="s">
        <v>156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spans="1:20" ht="28.5" customHeight="1">
      <c r="A2" s="31" t="s">
        <v>155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2"/>
      <c r="Q2" s="32"/>
      <c r="R2" s="32"/>
      <c r="S2" s="32"/>
      <c r="T2" s="32"/>
    </row>
    <row r="3" spans="1:20" ht="19.5" customHeight="1">
      <c r="A3" s="33" t="s">
        <v>75</v>
      </c>
      <c r="B3" s="34"/>
      <c r="C3" s="34"/>
      <c r="D3" s="29" t="s">
        <v>76</v>
      </c>
      <c r="E3" s="29" t="s">
        <v>77</v>
      </c>
      <c r="F3" s="29"/>
      <c r="G3" s="29" t="s">
        <v>78</v>
      </c>
      <c r="H3" s="29"/>
      <c r="I3" s="29" t="s">
        <v>79</v>
      </c>
      <c r="J3" s="29"/>
      <c r="K3" s="29" t="s">
        <v>80</v>
      </c>
      <c r="L3" s="29"/>
      <c r="M3" s="29" t="s">
        <v>81</v>
      </c>
      <c r="N3" s="29"/>
      <c r="O3" s="29" t="s">
        <v>82</v>
      </c>
      <c r="P3" s="29"/>
      <c r="Q3" s="29" t="s">
        <v>83</v>
      </c>
      <c r="R3" s="29"/>
      <c r="S3" s="29" t="s">
        <v>84</v>
      </c>
      <c r="T3" s="29"/>
    </row>
    <row r="4" spans="1:20" ht="18" customHeight="1">
      <c r="A4" s="34"/>
      <c r="B4" s="34"/>
      <c r="C4" s="34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</row>
    <row r="5" spans="1:21" ht="19.5" customHeight="1">
      <c r="A5" s="39" t="s">
        <v>4</v>
      </c>
      <c r="B5" s="39"/>
      <c r="C5" s="39"/>
      <c r="D5" s="12">
        <f>D9+D18</f>
        <v>3418.468057912601</v>
      </c>
      <c r="E5" s="40"/>
      <c r="F5" s="41" t="s">
        <v>24</v>
      </c>
      <c r="G5" s="40"/>
      <c r="H5" s="41" t="s">
        <v>2</v>
      </c>
      <c r="I5" s="40"/>
      <c r="J5" s="41" t="s">
        <v>2</v>
      </c>
      <c r="K5" s="42"/>
      <c r="L5" s="41" t="s">
        <v>2</v>
      </c>
      <c r="M5" s="42"/>
      <c r="N5" s="41" t="s">
        <v>2</v>
      </c>
      <c r="O5" s="42"/>
      <c r="P5" s="41" t="s">
        <v>2</v>
      </c>
      <c r="Q5" s="42"/>
      <c r="R5" s="41" t="s">
        <v>2</v>
      </c>
      <c r="S5" s="42"/>
      <c r="T5" s="41" t="s">
        <v>2</v>
      </c>
      <c r="U5" s="43"/>
    </row>
    <row r="6" spans="1:22" ht="33" customHeight="1">
      <c r="A6" s="39" t="s">
        <v>64</v>
      </c>
      <c r="B6" s="39" t="s">
        <v>65</v>
      </c>
      <c r="C6" s="39"/>
      <c r="D6" s="12">
        <f>(1308874.84+914551.55)/9428</f>
        <v>235.83224331777686</v>
      </c>
      <c r="E6" s="12">
        <f>79283.77+17047.91</f>
        <v>96331.68000000001</v>
      </c>
      <c r="F6" s="44">
        <f>E6/(1308874.84+914551.55)</f>
        <v>0.04332577882193797</v>
      </c>
      <c r="G6" s="12">
        <f>1021556.64+677529.97</f>
        <v>1699086.6099999999</v>
      </c>
      <c r="H6" s="44">
        <f>G6/(1308874.84+914551.55)</f>
        <v>0.7641748868511</v>
      </c>
      <c r="I6" s="12">
        <f>23810.9+135302.46</f>
        <v>159113.36</v>
      </c>
      <c r="J6" s="44">
        <f>I6/(1308874.84+914551.55)</f>
        <v>0.07156223417857335</v>
      </c>
      <c r="K6" s="12">
        <f>53297.53+16173.06</f>
        <v>69470.59</v>
      </c>
      <c r="L6" s="44">
        <f>K6/(1308874.84+914551.55)</f>
        <v>0.031244834689580163</v>
      </c>
      <c r="M6" s="12">
        <f>44873.96+13964.91</f>
        <v>58838.869999999995</v>
      </c>
      <c r="N6" s="44">
        <f>M6/(1308874.84+914551.55)</f>
        <v>0.026463151766405</v>
      </c>
      <c r="O6" s="12">
        <f>25775.23+13714.57</f>
        <v>39489.8</v>
      </c>
      <c r="P6" s="44">
        <f>O6/(1308874.84+914551.55)</f>
        <v>0.01776078586527886</v>
      </c>
      <c r="Q6" s="12">
        <f>12372.56+7618.18</f>
        <v>19990.739999999998</v>
      </c>
      <c r="R6" s="44">
        <f>Q6/(1308874.84+914551.55)</f>
        <v>0.008990961018502617</v>
      </c>
      <c r="S6" s="12">
        <f>47904.27+33200.49</f>
        <v>81104.76</v>
      </c>
      <c r="T6" s="44">
        <f>S6/(1308874.84+914551.55)</f>
        <v>0.03647737580374765</v>
      </c>
      <c r="U6" s="45"/>
      <c r="V6" s="9"/>
    </row>
    <row r="7" spans="1:21" ht="19.5" customHeight="1">
      <c r="A7" s="39"/>
      <c r="B7" s="39" t="s">
        <v>66</v>
      </c>
      <c r="C7" s="39"/>
      <c r="D7" s="12">
        <f>(22719305.85-(1308874.84+914551.55))/9428</f>
        <v>2173.937151039457</v>
      </c>
      <c r="E7" s="12">
        <f>2580268.78-E6</f>
        <v>2483937.0999999996</v>
      </c>
      <c r="F7" s="44">
        <f>E7/(22719305.85-(1308874.84+914551.55))</f>
        <v>0.12119202324777917</v>
      </c>
      <c r="G7" s="12">
        <f>16258727.3-G6</f>
        <v>14559640.690000001</v>
      </c>
      <c r="H7" s="44">
        <f>G7/(22719305.85-(1308874.84+914551.55))</f>
        <v>0.71036916070934</v>
      </c>
      <c r="I7" s="12">
        <f>474974.75-I6</f>
        <v>315861.39</v>
      </c>
      <c r="J7" s="44">
        <f>I7/(22719305.85-(1308874.84+914551.55))</f>
        <v>0.01541097031803094</v>
      </c>
      <c r="K7" s="12">
        <f>758461.55-K6</f>
        <v>688990.9600000001</v>
      </c>
      <c r="L7" s="44">
        <f>K7/(22719305.85-(1308874.84+914551.55))</f>
        <v>0.03361607201801918</v>
      </c>
      <c r="M7" s="12">
        <f>635138.19-M6</f>
        <v>576299.32</v>
      </c>
      <c r="N7" s="44">
        <f>M7/(22719305.85-(1308874.84+914551.55))</f>
        <v>0.02811781368663455</v>
      </c>
      <c r="O7" s="12">
        <f>821062.3-O6</f>
        <v>781572.5</v>
      </c>
      <c r="P7" s="44">
        <f>O7/(22719305.85-(1308874.84+914551.55))</f>
        <v>0.038133152642965434</v>
      </c>
      <c r="Q7" s="12">
        <f>359418.49-Q6</f>
        <v>339427.75</v>
      </c>
      <c r="R7" s="44">
        <f>Q7/(22719305.85-(1308874.84+914551.55))</f>
        <v>0.0165607799685996</v>
      </c>
      <c r="S7" s="12">
        <f>832145.4-S6</f>
        <v>751040.64</v>
      </c>
      <c r="T7" s="44">
        <f>S7/(22719305.85-(1308874.84+914551.55))</f>
        <v>0.036643494194320364</v>
      </c>
      <c r="U7" s="45"/>
    </row>
    <row r="8" spans="1:21" ht="19.5" customHeight="1">
      <c r="A8" s="39"/>
      <c r="B8" s="39" t="s">
        <v>5</v>
      </c>
      <c r="C8" s="39"/>
      <c r="D8" s="1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5"/>
    </row>
    <row r="9" spans="1:22" ht="19.5" customHeight="1">
      <c r="A9" s="39"/>
      <c r="B9" s="39" t="s">
        <v>0</v>
      </c>
      <c r="C9" s="39"/>
      <c r="D9" s="12">
        <f>SUM(D6:D8)</f>
        <v>2409.769394357234</v>
      </c>
      <c r="E9" s="12">
        <f>SUM(E6:E8)</f>
        <v>2580268.78</v>
      </c>
      <c r="F9" s="44">
        <f>E9/22719305.85</f>
        <v>0.11357163801727682</v>
      </c>
      <c r="G9" s="12">
        <f aca="true" t="shared" si="0" ref="E9:S9">SUM(G6:G8)</f>
        <v>16258727.3</v>
      </c>
      <c r="H9" s="44">
        <f>G9/22719305.85</f>
        <v>0.7156348617050727</v>
      </c>
      <c r="I9" s="12">
        <f t="shared" si="0"/>
        <v>474974.75</v>
      </c>
      <c r="J9" s="44">
        <f>I9/22719305.85</f>
        <v>0.02090621751984557</v>
      </c>
      <c r="K9" s="12">
        <f t="shared" si="0"/>
        <v>758461.55</v>
      </c>
      <c r="L9" s="44">
        <f>K9/22719305.85</f>
        <v>0.03338401071791548</v>
      </c>
      <c r="M9" s="12">
        <f t="shared" si="0"/>
        <v>635138.19</v>
      </c>
      <c r="N9" s="44">
        <f>M9/22719305.85</f>
        <v>0.02795588008689094</v>
      </c>
      <c r="O9" s="12">
        <f t="shared" si="0"/>
        <v>821062.3</v>
      </c>
      <c r="P9" s="44">
        <f>O9/22719305.85</f>
        <v>0.03613940960260456</v>
      </c>
      <c r="Q9" s="12">
        <f t="shared" si="0"/>
        <v>359418.49</v>
      </c>
      <c r="R9" s="44">
        <f>Q9/22719305.85</f>
        <v>0.015819959129605186</v>
      </c>
      <c r="S9" s="12">
        <f t="shared" si="0"/>
        <v>832145.4</v>
      </c>
      <c r="T9" s="44">
        <f>S9/22719305.85</f>
        <v>0.03662723700689121</v>
      </c>
      <c r="U9" s="45"/>
      <c r="V9" s="8"/>
    </row>
    <row r="10" spans="1:22" ht="19.5" customHeight="1">
      <c r="A10" s="39" t="s">
        <v>67</v>
      </c>
      <c r="B10" s="39" t="s">
        <v>68</v>
      </c>
      <c r="C10" s="39"/>
      <c r="D10" s="12">
        <f>702578/9428</f>
        <v>74.52036487059821</v>
      </c>
      <c r="E10" s="12">
        <v>62615</v>
      </c>
      <c r="F10" s="46">
        <f>E10/600880</f>
        <v>0.10420549860205032</v>
      </c>
      <c r="G10" s="12">
        <f>22537+434797</f>
        <v>457334</v>
      </c>
      <c r="H10" s="46">
        <f>G10/600880</f>
        <v>0.7611070430035948</v>
      </c>
      <c r="I10" s="47">
        <v>3858</v>
      </c>
      <c r="J10" s="46">
        <f>I10/600880</f>
        <v>0.006420583144721076</v>
      </c>
      <c r="K10" s="47">
        <v>14060</v>
      </c>
      <c r="L10" s="46">
        <f>K10/600880</f>
        <v>0.023399014778325122</v>
      </c>
      <c r="M10" s="47">
        <v>15608</v>
      </c>
      <c r="N10" s="46">
        <f>M10/600880</f>
        <v>0.025975236320063905</v>
      </c>
      <c r="O10" s="47">
        <v>18415</v>
      </c>
      <c r="P10" s="46">
        <f>O10/600880</f>
        <v>0.030646718146718148</v>
      </c>
      <c r="Q10" s="47">
        <v>7176</v>
      </c>
      <c r="R10" s="46">
        <f>Q10/600880</f>
        <v>0.01194248435627746</v>
      </c>
      <c r="S10" s="47">
        <v>21813</v>
      </c>
      <c r="T10" s="46">
        <f>S10/600880</f>
        <v>0.036301757422447074</v>
      </c>
      <c r="U10" s="45"/>
      <c r="V10" s="9"/>
    </row>
    <row r="11" spans="1:22" ht="19.5" customHeight="1">
      <c r="A11" s="39"/>
      <c r="B11" s="39" t="s">
        <v>6</v>
      </c>
      <c r="C11" s="48" t="s">
        <v>23</v>
      </c>
      <c r="D11" s="12">
        <f>2035573/9428</f>
        <v>215.90719134493</v>
      </c>
      <c r="E11" s="12">
        <v>203625</v>
      </c>
      <c r="F11" s="46">
        <f>E11/2035573</f>
        <v>0.1000332584486039</v>
      </c>
      <c r="G11" s="47">
        <f>68612+1485289</f>
        <v>1553901</v>
      </c>
      <c r="H11" s="46">
        <f>G11/2035573</f>
        <v>0.7633727702224385</v>
      </c>
      <c r="I11" s="47">
        <v>14424</v>
      </c>
      <c r="J11" s="46">
        <f>I11/2035573</f>
        <v>0.007085965475077533</v>
      </c>
      <c r="K11" s="47">
        <v>65946</v>
      </c>
      <c r="L11" s="46">
        <f>K11/2035573</f>
        <v>0.0323967747656311</v>
      </c>
      <c r="M11" s="47">
        <v>52874</v>
      </c>
      <c r="N11" s="46">
        <f>M11/2035573</f>
        <v>0.025974995738300713</v>
      </c>
      <c r="O11" s="47">
        <v>50146</v>
      </c>
      <c r="P11" s="46">
        <f>O11/2035573</f>
        <v>0.02463483255083458</v>
      </c>
      <c r="Q11" s="47">
        <v>20760</v>
      </c>
      <c r="R11" s="46">
        <f>Q11/2035573</f>
        <v>0.010198602555644037</v>
      </c>
      <c r="S11" s="47">
        <v>73896</v>
      </c>
      <c r="T11" s="46">
        <f>S11/2035573</f>
        <v>0.036302308981304036</v>
      </c>
      <c r="U11" s="45"/>
      <c r="V11" s="9"/>
    </row>
    <row r="12" spans="1:22" ht="19.5" customHeight="1">
      <c r="A12" s="39"/>
      <c r="B12" s="39"/>
      <c r="C12" s="48" t="s">
        <v>69</v>
      </c>
      <c r="D12" s="12">
        <f>1762688/9428</f>
        <v>186.96308867204073</v>
      </c>
      <c r="E12" s="47">
        <v>313805</v>
      </c>
      <c r="F12" s="46">
        <f>E12/1762688</f>
        <v>0.17802640058819258</v>
      </c>
      <c r="G12" s="47">
        <f>24901+1117694</f>
        <v>1142595</v>
      </c>
      <c r="H12" s="46">
        <f>G12/1762688</f>
        <v>0.6482117084815917</v>
      </c>
      <c r="I12" s="47">
        <v>19621</v>
      </c>
      <c r="J12" s="46">
        <f>I12/1762688</f>
        <v>0.011131294931377532</v>
      </c>
      <c r="K12" s="47">
        <v>13139</v>
      </c>
      <c r="L12" s="46">
        <f>K12/1762688</f>
        <v>0.007453956684336649</v>
      </c>
      <c r="M12" s="47">
        <v>42711</v>
      </c>
      <c r="N12" s="46">
        <f>M12/1762688</f>
        <v>0.024230606891293298</v>
      </c>
      <c r="O12" s="47">
        <v>122348</v>
      </c>
      <c r="P12" s="46">
        <f>O12/1762688</f>
        <v>0.06940990124173989</v>
      </c>
      <c r="Q12" s="47">
        <v>43955</v>
      </c>
      <c r="R12" s="46">
        <f>Q12/1762688</f>
        <v>0.0249363472151623</v>
      </c>
      <c r="S12" s="47">
        <v>64514</v>
      </c>
      <c r="T12" s="46">
        <f>S12/1762688</f>
        <v>0.036599783966306004</v>
      </c>
      <c r="U12" s="45"/>
      <c r="V12" s="9"/>
    </row>
    <row r="13" spans="1:22" ht="19.5" customHeight="1">
      <c r="A13" s="39"/>
      <c r="B13" s="39" t="s">
        <v>70</v>
      </c>
      <c r="C13" s="39"/>
      <c r="D13" s="12">
        <f>3779008/9428</f>
        <v>400.8281714043275</v>
      </c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5"/>
      <c r="V13" s="9"/>
    </row>
    <row r="14" spans="1:22" ht="19.5" customHeight="1">
      <c r="A14" s="39"/>
      <c r="B14" s="39" t="s">
        <v>71</v>
      </c>
      <c r="C14" s="39"/>
      <c r="D14" s="12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5"/>
      <c r="V14" s="9"/>
    </row>
    <row r="15" spans="1:22" ht="19.5" customHeight="1">
      <c r="A15" s="39"/>
      <c r="B15" s="39" t="s">
        <v>72</v>
      </c>
      <c r="C15" s="39"/>
      <c r="D15" s="12">
        <f>1053000/9428</f>
        <v>111.68858718710224</v>
      </c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5"/>
      <c r="V15" s="9"/>
    </row>
    <row r="16" spans="1:22" ht="19.5" customHeight="1">
      <c r="A16" s="39"/>
      <c r="B16" s="39" t="s">
        <v>73</v>
      </c>
      <c r="C16" s="39"/>
      <c r="D16" s="12"/>
      <c r="E16" s="12"/>
      <c r="F16" s="44"/>
      <c r="G16" s="12"/>
      <c r="H16" s="44"/>
      <c r="I16" s="12"/>
      <c r="J16" s="44"/>
      <c r="K16" s="12"/>
      <c r="L16" s="44"/>
      <c r="M16" s="12"/>
      <c r="N16" s="44"/>
      <c r="O16" s="12"/>
      <c r="P16" s="44"/>
      <c r="Q16" s="12"/>
      <c r="R16" s="44"/>
      <c r="S16" s="12"/>
      <c r="T16" s="44"/>
      <c r="U16" s="45"/>
      <c r="V16" s="9"/>
    </row>
    <row r="17" spans="1:22" ht="19.5" customHeight="1">
      <c r="A17" s="39"/>
      <c r="B17" s="39" t="s">
        <v>126</v>
      </c>
      <c r="C17" s="39"/>
      <c r="D17" s="12">
        <f>177164/9428</f>
        <v>18.791260076368264</v>
      </c>
      <c r="E17" s="12">
        <v>15505</v>
      </c>
      <c r="F17" s="44">
        <f>E17/177164</f>
        <v>0.08751778013591927</v>
      </c>
      <c r="G17" s="12">
        <f>21005+118536</f>
        <v>139541</v>
      </c>
      <c r="H17" s="44">
        <f>G17/177164</f>
        <v>0.7876374432728996</v>
      </c>
      <c r="I17" s="47">
        <v>3879</v>
      </c>
      <c r="J17" s="44">
        <f>I17/177164</f>
        <v>0.02189496737486171</v>
      </c>
      <c r="K17" s="47">
        <v>5655</v>
      </c>
      <c r="L17" s="44">
        <f>K17/177164</f>
        <v>0.03191957734076901</v>
      </c>
      <c r="M17" s="47">
        <v>4602</v>
      </c>
      <c r="N17" s="44">
        <f>M17/177164</f>
        <v>0.02597593190490167</v>
      </c>
      <c r="O17" s="12">
        <v>779</v>
      </c>
      <c r="P17" s="44">
        <f>O17/177164</f>
        <v>0.004397055835271274</v>
      </c>
      <c r="Q17" s="12">
        <v>779</v>
      </c>
      <c r="R17" s="44">
        <f>Q17/177164</f>
        <v>0.004397055835271274</v>
      </c>
      <c r="S17" s="47">
        <v>6432</v>
      </c>
      <c r="T17" s="44">
        <f>S17/177164</f>
        <v>0.03630534420085345</v>
      </c>
      <c r="U17" s="45"/>
      <c r="V17" s="9"/>
    </row>
    <row r="18" spans="1:21" s="11" customFormat="1" ht="19.5" customHeight="1">
      <c r="A18" s="49"/>
      <c r="B18" s="39" t="s">
        <v>25</v>
      </c>
      <c r="C18" s="39"/>
      <c r="D18" s="12">
        <f>SUM(D10:D17)</f>
        <v>1008.698663555367</v>
      </c>
      <c r="E18" s="12">
        <f aca="true" t="shared" si="1" ref="E18:S18">SUM(E10:E17)</f>
        <v>595550</v>
      </c>
      <c r="F18" s="44">
        <f>E18/8457011</f>
        <v>0.07042086146039067</v>
      </c>
      <c r="G18" s="47">
        <f t="shared" si="1"/>
        <v>3293371</v>
      </c>
      <c r="H18" s="44">
        <f>G18/8457011</f>
        <v>0.3894249398516805</v>
      </c>
      <c r="I18" s="47">
        <f t="shared" si="1"/>
        <v>41782</v>
      </c>
      <c r="J18" s="44">
        <f>I18/8457011</f>
        <v>0.004940516217845761</v>
      </c>
      <c r="K18" s="47">
        <f t="shared" si="1"/>
        <v>98800</v>
      </c>
      <c r="L18" s="44">
        <f>K18/8457011</f>
        <v>0.011682614578602299</v>
      </c>
      <c r="M18" s="47">
        <f t="shared" si="1"/>
        <v>115795</v>
      </c>
      <c r="N18" s="44">
        <f>M18/8457011</f>
        <v>0.013692189829243452</v>
      </c>
      <c r="O18" s="47">
        <f t="shared" si="1"/>
        <v>191688</v>
      </c>
      <c r="P18" s="44">
        <f>O18/8457011</f>
        <v>0.022666164203877705</v>
      </c>
      <c r="Q18" s="47">
        <f t="shared" si="1"/>
        <v>72670</v>
      </c>
      <c r="R18" s="44">
        <f>Q18/8457011</f>
        <v>0.008592870459787743</v>
      </c>
      <c r="S18" s="47">
        <f t="shared" si="1"/>
        <v>166655</v>
      </c>
      <c r="T18" s="44">
        <f>S18/8457011</f>
        <v>0.01970613494531342</v>
      </c>
      <c r="U18" s="45"/>
    </row>
    <row r="19" spans="1:22" ht="19.5" customHeight="1">
      <c r="A19" s="50" t="s">
        <v>74</v>
      </c>
      <c r="B19" s="51" t="s">
        <v>143</v>
      </c>
      <c r="C19" s="39"/>
      <c r="D19" s="12">
        <f>6021850/9428</f>
        <v>638.7197708952058</v>
      </c>
      <c r="E19" s="12">
        <v>720140</v>
      </c>
      <c r="F19" s="46">
        <f>E19/6021850</f>
        <v>0.11958783430341174</v>
      </c>
      <c r="G19" s="47">
        <v>4583751</v>
      </c>
      <c r="H19" s="46">
        <f>G19/6021850</f>
        <v>0.7611865124504927</v>
      </c>
      <c r="I19" s="47">
        <v>20572</v>
      </c>
      <c r="J19" s="52">
        <f>I19/6021850</f>
        <v>0.0034162259106420784</v>
      </c>
      <c r="K19" s="47">
        <v>50388</v>
      </c>
      <c r="L19" s="46">
        <f>K19/6021850</f>
        <v>0.008367528251284903</v>
      </c>
      <c r="M19" s="47">
        <v>152411</v>
      </c>
      <c r="N19" s="46">
        <f>M19/6021850</f>
        <v>0.02530966397369579</v>
      </c>
      <c r="O19" s="47">
        <v>185289</v>
      </c>
      <c r="P19" s="46">
        <f>O19/6021850</f>
        <v>0.03076944792713203</v>
      </c>
      <c r="Q19" s="47">
        <v>88903</v>
      </c>
      <c r="R19" s="46">
        <f>Q19/6021850</f>
        <v>0.014763403273080532</v>
      </c>
      <c r="S19" s="47">
        <v>220397</v>
      </c>
      <c r="T19" s="46">
        <f>S19/6021850</f>
        <v>0.036599549972184627</v>
      </c>
      <c r="U19" s="45"/>
      <c r="V19" s="9"/>
    </row>
    <row r="20" spans="1:22" ht="19.5" customHeight="1">
      <c r="A20" s="53"/>
      <c r="B20" s="51" t="s">
        <v>144</v>
      </c>
      <c r="C20" s="39"/>
      <c r="D20" s="12">
        <f>4971072/9428</f>
        <v>527.2668646584641</v>
      </c>
      <c r="E20" s="47">
        <v>663893</v>
      </c>
      <c r="F20" s="46">
        <f>E20/4971072</f>
        <v>0.1335512742523142</v>
      </c>
      <c r="G20" s="47">
        <v>3456343</v>
      </c>
      <c r="H20" s="46">
        <f>G20/4971072</f>
        <v>0.6952912772134461</v>
      </c>
      <c r="I20" s="47">
        <v>78426</v>
      </c>
      <c r="J20" s="46">
        <f>I20/4971072</f>
        <v>0.01577647638175428</v>
      </c>
      <c r="K20" s="47">
        <v>41595</v>
      </c>
      <c r="L20" s="46">
        <f>K20/4971072</f>
        <v>0.008367410490131707</v>
      </c>
      <c r="M20" s="47">
        <v>125816</v>
      </c>
      <c r="N20" s="46">
        <f>M20/4971072</f>
        <v>0.025309631403447788</v>
      </c>
      <c r="O20" s="47">
        <v>311727</v>
      </c>
      <c r="P20" s="46">
        <f>O20/4971072</f>
        <v>0.06270820458846703</v>
      </c>
      <c r="Q20" s="47">
        <v>111332</v>
      </c>
      <c r="R20" s="46">
        <f>Q20/4971072</f>
        <v>0.022395974148030847</v>
      </c>
      <c r="S20" s="47">
        <v>181939</v>
      </c>
      <c r="T20" s="46">
        <f>S20/4971072</f>
        <v>0.03659955035855445</v>
      </c>
      <c r="U20" s="45"/>
      <c r="V20" s="9"/>
    </row>
    <row r="21" spans="1:21" s="11" customFormat="1" ht="19.5" customHeight="1">
      <c r="A21" s="54"/>
      <c r="B21" s="51" t="s">
        <v>25</v>
      </c>
      <c r="C21" s="39"/>
      <c r="D21" s="12">
        <f>SUM(D19:D20)</f>
        <v>1165.9866355536699</v>
      </c>
      <c r="E21" s="47">
        <f aca="true" t="shared" si="2" ref="E21:S21">SUM(E19:E20)</f>
        <v>1384033</v>
      </c>
      <c r="F21" s="44">
        <f>E21/10992922</f>
        <v>0.12590219415729503</v>
      </c>
      <c r="G21" s="47">
        <f t="shared" si="2"/>
        <v>8040094</v>
      </c>
      <c r="H21" s="44">
        <f>G21/10992922</f>
        <v>0.7313882514585294</v>
      </c>
      <c r="I21" s="47">
        <f t="shared" si="2"/>
        <v>98998</v>
      </c>
      <c r="J21" s="44">
        <f>I21/10992922</f>
        <v>0.00900561288436323</v>
      </c>
      <c r="K21" s="47">
        <f t="shared" si="2"/>
        <v>91983</v>
      </c>
      <c r="L21" s="44">
        <f>K21/10992922</f>
        <v>0.008367474998912936</v>
      </c>
      <c r="M21" s="47">
        <f t="shared" si="2"/>
        <v>278227</v>
      </c>
      <c r="N21" s="44">
        <f>M21/10992922</f>
        <v>0.025309649245214328</v>
      </c>
      <c r="O21" s="47">
        <f t="shared" si="2"/>
        <v>497016</v>
      </c>
      <c r="P21" s="44">
        <f>O21/10992922</f>
        <v>0.04521236482893266</v>
      </c>
      <c r="Q21" s="47">
        <f t="shared" si="2"/>
        <v>200235</v>
      </c>
      <c r="R21" s="44">
        <f>Q21/10992922</f>
        <v>0.0182149022798488</v>
      </c>
      <c r="S21" s="47">
        <f t="shared" si="2"/>
        <v>402336</v>
      </c>
      <c r="T21" s="44">
        <f>S21/10992922</f>
        <v>0.036599550146903616</v>
      </c>
      <c r="U21" s="45"/>
    </row>
    <row r="22" spans="1:21" ht="14.25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</row>
    <row r="23" spans="1:21" ht="14.25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</row>
    <row r="24" spans="1:21" ht="14.25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</row>
  </sheetData>
  <sheetProtection/>
  <mergeCells count="31">
    <mergeCell ref="O3:P4"/>
    <mergeCell ref="Q3:R4"/>
    <mergeCell ref="B16:C16"/>
    <mergeCell ref="B17:C17"/>
    <mergeCell ref="A2:T2"/>
    <mergeCell ref="A3:C4"/>
    <mergeCell ref="D3:D4"/>
    <mergeCell ref="E3:F4"/>
    <mergeCell ref="G3:H4"/>
    <mergeCell ref="I3:J4"/>
    <mergeCell ref="K3:L4"/>
    <mergeCell ref="M3:N4"/>
    <mergeCell ref="B6:C6"/>
    <mergeCell ref="B7:C7"/>
    <mergeCell ref="B8:C8"/>
    <mergeCell ref="B9:C9"/>
    <mergeCell ref="B10:C10"/>
    <mergeCell ref="B18:C18"/>
    <mergeCell ref="B11:B12"/>
    <mergeCell ref="B13:C13"/>
    <mergeCell ref="B14:C14"/>
    <mergeCell ref="B15:C15"/>
    <mergeCell ref="B19:C19"/>
    <mergeCell ref="B20:C20"/>
    <mergeCell ref="B21:C21"/>
    <mergeCell ref="A19:A21"/>
    <mergeCell ref="A1:T1"/>
    <mergeCell ref="S3:T4"/>
    <mergeCell ref="A6:A9"/>
    <mergeCell ref="A10:A18"/>
    <mergeCell ref="A5:C5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PageLayoutView="0" workbookViewId="0" topLeftCell="A1">
      <pane xSplit="3" ySplit="3" topLeftCell="D19" activePane="bottomRight" state="frozen"/>
      <selection pane="topLeft" activeCell="A1" sqref="A1"/>
      <selection pane="topRight" activeCell="D1" sqref="D1"/>
      <selection pane="bottomLeft" activeCell="A4" sqref="A4"/>
      <selection pane="bottomRight" activeCell="E16" sqref="E16"/>
    </sheetView>
  </sheetViews>
  <sheetFormatPr defaultColWidth="9.00390625" defaultRowHeight="12.75" customHeight="1"/>
  <cols>
    <col min="1" max="1" width="7.375" style="2" customWidth="1"/>
    <col min="2" max="2" width="9.125" style="2" customWidth="1"/>
    <col min="3" max="3" width="6.25390625" style="2" customWidth="1"/>
    <col min="4" max="4" width="17.375" style="2" customWidth="1"/>
    <col min="5" max="5" width="26.375" style="2" customWidth="1"/>
    <col min="6" max="6" width="35.125" style="2" customWidth="1"/>
    <col min="7" max="16384" width="9.00390625" style="2" customWidth="1"/>
  </cols>
  <sheetData>
    <row r="1" spans="1:6" ht="27.75" customHeight="1">
      <c r="A1" s="38" t="s">
        <v>153</v>
      </c>
      <c r="B1" s="38"/>
      <c r="C1" s="38"/>
      <c r="D1" s="38"/>
      <c r="E1" s="38"/>
      <c r="F1" s="38"/>
    </row>
    <row r="2" spans="1:6" ht="20.25" customHeight="1">
      <c r="A2" s="31" t="s">
        <v>154</v>
      </c>
      <c r="B2" s="31"/>
      <c r="C2" s="31"/>
      <c r="D2" s="31"/>
      <c r="E2" s="31"/>
      <c r="F2" s="31"/>
    </row>
    <row r="3" spans="1:6" ht="15" customHeight="1">
      <c r="A3" s="28" t="s">
        <v>85</v>
      </c>
      <c r="B3" s="28"/>
      <c r="C3" s="5" t="s">
        <v>86</v>
      </c>
      <c r="D3" s="5" t="s">
        <v>87</v>
      </c>
      <c r="E3" s="5" t="s">
        <v>88</v>
      </c>
      <c r="F3" s="5" t="s">
        <v>89</v>
      </c>
    </row>
    <row r="4" spans="1:6" ht="15" customHeight="1">
      <c r="A4" s="28" t="s">
        <v>90</v>
      </c>
      <c r="B4" s="5" t="s">
        <v>91</v>
      </c>
      <c r="C4" s="3" t="s">
        <v>105</v>
      </c>
      <c r="D4" s="55">
        <v>9563.56</v>
      </c>
      <c r="E4" s="55">
        <f aca="true" t="shared" si="0" ref="E4:E15">D4/94.28</f>
        <v>101.43784471786168</v>
      </c>
      <c r="F4" s="6"/>
    </row>
    <row r="5" spans="1:6" ht="15" customHeight="1">
      <c r="A5" s="28"/>
      <c r="B5" s="5" t="s">
        <v>149</v>
      </c>
      <c r="C5" s="3" t="s">
        <v>150</v>
      </c>
      <c r="D5" s="55">
        <v>3973</v>
      </c>
      <c r="E5" s="55">
        <f t="shared" si="0"/>
        <v>42.140432753500214</v>
      </c>
      <c r="F5" s="6"/>
    </row>
    <row r="6" spans="1:6" ht="15" customHeight="1">
      <c r="A6" s="28"/>
      <c r="B6" s="5" t="s">
        <v>92</v>
      </c>
      <c r="C6" s="3" t="s">
        <v>26</v>
      </c>
      <c r="D6" s="55">
        <v>788.65</v>
      </c>
      <c r="E6" s="55">
        <f t="shared" si="0"/>
        <v>8.364976665252438</v>
      </c>
      <c r="F6" s="3"/>
    </row>
    <row r="7" spans="1:6" ht="15" customHeight="1">
      <c r="A7" s="28"/>
      <c r="B7" s="5" t="s">
        <v>93</v>
      </c>
      <c r="C7" s="3" t="s">
        <v>8</v>
      </c>
      <c r="D7" s="55">
        <f>104.76</f>
        <v>104.76</v>
      </c>
      <c r="E7" s="55">
        <f t="shared" si="0"/>
        <v>1.1111582520152736</v>
      </c>
      <c r="F7" s="3"/>
    </row>
    <row r="8" spans="1:6" ht="15" customHeight="1">
      <c r="A8" s="28"/>
      <c r="B8" s="5" t="s">
        <v>94</v>
      </c>
      <c r="C8" s="3" t="s">
        <v>27</v>
      </c>
      <c r="D8" s="55">
        <v>2540</v>
      </c>
      <c r="E8" s="55">
        <f t="shared" si="0"/>
        <v>26.94102672889266</v>
      </c>
      <c r="F8" s="3"/>
    </row>
    <row r="9" spans="1:6" ht="15" customHeight="1">
      <c r="A9" s="28" t="s">
        <v>95</v>
      </c>
      <c r="B9" s="5" t="s">
        <v>96</v>
      </c>
      <c r="C9" s="3" t="s">
        <v>106</v>
      </c>
      <c r="D9" s="56"/>
      <c r="E9" s="55">
        <f t="shared" si="0"/>
        <v>0</v>
      </c>
      <c r="F9" s="6"/>
    </row>
    <row r="10" spans="1:6" ht="15" customHeight="1">
      <c r="A10" s="28"/>
      <c r="B10" s="5" t="s">
        <v>92</v>
      </c>
      <c r="C10" s="3" t="s">
        <v>106</v>
      </c>
      <c r="D10" s="55">
        <v>3033.97</v>
      </c>
      <c r="E10" s="55">
        <f t="shared" si="0"/>
        <v>32.18042002545609</v>
      </c>
      <c r="F10" s="3"/>
    </row>
    <row r="11" spans="1:6" ht="15" customHeight="1">
      <c r="A11" s="28"/>
      <c r="B11" s="5" t="s">
        <v>93</v>
      </c>
      <c r="C11" s="3" t="s">
        <v>107</v>
      </c>
      <c r="D11" s="55">
        <f>621.515-104.76</f>
        <v>516.755</v>
      </c>
      <c r="E11" s="55">
        <f t="shared" si="0"/>
        <v>5.481067034365719</v>
      </c>
      <c r="F11" s="3"/>
    </row>
    <row r="12" spans="1:6" ht="15" customHeight="1">
      <c r="A12" s="28"/>
      <c r="B12" s="5" t="s">
        <v>94</v>
      </c>
      <c r="C12" s="3" t="s">
        <v>108</v>
      </c>
      <c r="D12" s="56">
        <v>20298</v>
      </c>
      <c r="E12" s="55">
        <f t="shared" si="0"/>
        <v>215.2948663555367</v>
      </c>
      <c r="F12" s="3"/>
    </row>
    <row r="13" spans="1:6" ht="15" customHeight="1">
      <c r="A13" s="28"/>
      <c r="B13" s="5" t="s">
        <v>97</v>
      </c>
      <c r="C13" s="3" t="s">
        <v>26</v>
      </c>
      <c r="D13" s="55">
        <v>1511.79</v>
      </c>
      <c r="E13" s="55">
        <f t="shared" si="0"/>
        <v>16.03510818837505</v>
      </c>
      <c r="F13" s="3"/>
    </row>
    <row r="14" spans="1:6" ht="15" customHeight="1">
      <c r="A14" s="28"/>
      <c r="B14" s="5" t="s">
        <v>98</v>
      </c>
      <c r="C14" s="3" t="s">
        <v>27</v>
      </c>
      <c r="D14" s="55">
        <v>830.55</v>
      </c>
      <c r="E14" s="55">
        <f t="shared" si="0"/>
        <v>8.809397539244802</v>
      </c>
      <c r="F14" s="3"/>
    </row>
    <row r="15" spans="1:6" ht="15" customHeight="1">
      <c r="A15" s="28"/>
      <c r="B15" s="5" t="s">
        <v>99</v>
      </c>
      <c r="C15" s="3" t="s">
        <v>27</v>
      </c>
      <c r="D15" s="56">
        <v>2632.42</v>
      </c>
      <c r="E15" s="55">
        <f t="shared" si="0"/>
        <v>27.921298260500638</v>
      </c>
      <c r="F15" s="3"/>
    </row>
    <row r="16" spans="1:6" ht="15" customHeight="1">
      <c r="A16" s="28"/>
      <c r="B16" s="5" t="s">
        <v>100</v>
      </c>
      <c r="C16" s="3" t="s">
        <v>27</v>
      </c>
      <c r="D16" s="56">
        <v>12779.95</v>
      </c>
      <c r="E16" s="55">
        <f>D16/94.28</f>
        <v>135.55313958421723</v>
      </c>
      <c r="F16" s="3"/>
    </row>
    <row r="17" spans="1:6" ht="15" customHeight="1">
      <c r="A17" s="28"/>
      <c r="B17" s="5" t="s">
        <v>101</v>
      </c>
      <c r="C17" s="3" t="s">
        <v>27</v>
      </c>
      <c r="D17" s="56">
        <v>32067.18</v>
      </c>
      <c r="E17" s="55">
        <f>D17/94.28</f>
        <v>340.12706830717013</v>
      </c>
      <c r="F17" s="3"/>
    </row>
    <row r="18" spans="1:6" ht="15" customHeight="1">
      <c r="A18" s="28"/>
      <c r="B18" s="5" t="s">
        <v>102</v>
      </c>
      <c r="C18" s="3" t="s">
        <v>27</v>
      </c>
      <c r="D18" s="56">
        <v>6241.55</v>
      </c>
      <c r="E18" s="55">
        <f>D18/94.28</f>
        <v>66.20226983453543</v>
      </c>
      <c r="F18" s="3"/>
    </row>
    <row r="19" spans="1:6" ht="15" customHeight="1">
      <c r="A19" s="28"/>
      <c r="B19" s="5" t="s">
        <v>103</v>
      </c>
      <c r="C19" s="3"/>
      <c r="D19" s="56"/>
      <c r="E19" s="57"/>
      <c r="F19" s="3"/>
    </row>
    <row r="20" spans="1:6" ht="15" customHeight="1">
      <c r="A20" s="30" t="s">
        <v>104</v>
      </c>
      <c r="B20" s="5" t="s">
        <v>10</v>
      </c>
      <c r="C20" s="3" t="s">
        <v>11</v>
      </c>
      <c r="D20" s="56">
        <v>55445</v>
      </c>
      <c r="E20" s="55">
        <f>D20/94.28</f>
        <v>588.0886720407298</v>
      </c>
      <c r="F20" s="3"/>
    </row>
    <row r="21" spans="1:6" ht="15" customHeight="1">
      <c r="A21" s="35"/>
      <c r="B21" s="5" t="s">
        <v>12</v>
      </c>
      <c r="C21" s="3" t="s">
        <v>11</v>
      </c>
      <c r="D21" s="56">
        <v>1274</v>
      </c>
      <c r="E21" s="55">
        <f>D21/94.28</f>
        <v>13.512940178192618</v>
      </c>
      <c r="F21" s="3"/>
    </row>
    <row r="22" spans="1:6" ht="15" customHeight="1">
      <c r="A22" s="35"/>
      <c r="B22" s="5" t="s">
        <v>13</v>
      </c>
      <c r="C22" s="3" t="s">
        <v>11</v>
      </c>
      <c r="D22" s="56">
        <v>14727</v>
      </c>
      <c r="E22" s="55">
        <f>D22/94.28</f>
        <v>156.20492151039457</v>
      </c>
      <c r="F22" s="3"/>
    </row>
    <row r="23" spans="1:6" ht="22.5" customHeight="1">
      <c r="A23" s="35"/>
      <c r="B23" s="5" t="s">
        <v>14</v>
      </c>
      <c r="C23" s="3" t="s">
        <v>11</v>
      </c>
      <c r="D23" s="56">
        <v>721</v>
      </c>
      <c r="E23" s="55">
        <f>D23/94.28</f>
        <v>7.64743317776835</v>
      </c>
      <c r="F23" s="3"/>
    </row>
    <row r="24" spans="1:6" ht="15" customHeight="1">
      <c r="A24" s="36"/>
      <c r="B24" s="5" t="s">
        <v>15</v>
      </c>
      <c r="C24" s="3" t="s">
        <v>11</v>
      </c>
      <c r="D24" s="58"/>
      <c r="E24" s="55"/>
      <c r="F24" s="3"/>
    </row>
    <row r="25" spans="1:6" ht="15" customHeight="1">
      <c r="A25" s="35"/>
      <c r="B25" s="5" t="s">
        <v>16</v>
      </c>
      <c r="C25" s="3" t="s">
        <v>11</v>
      </c>
      <c r="D25" s="58"/>
      <c r="E25" s="55"/>
      <c r="F25" s="3"/>
    </row>
    <row r="26" spans="1:6" ht="15" customHeight="1">
      <c r="A26" s="37"/>
      <c r="B26" s="5" t="s">
        <v>9</v>
      </c>
      <c r="C26" s="5"/>
      <c r="D26" s="58"/>
      <c r="E26" s="55"/>
      <c r="F26" s="3"/>
    </row>
  </sheetData>
  <sheetProtection/>
  <mergeCells count="6">
    <mergeCell ref="A20:A26"/>
    <mergeCell ref="A9:A19"/>
    <mergeCell ref="A1:F1"/>
    <mergeCell ref="A2:F2"/>
    <mergeCell ref="A3:B3"/>
    <mergeCell ref="A4:A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E4" sqref="E4:E13"/>
    </sheetView>
  </sheetViews>
  <sheetFormatPr defaultColWidth="9.00390625" defaultRowHeight="14.25"/>
  <cols>
    <col min="1" max="1" width="5.125" style="0" customWidth="1"/>
    <col min="2" max="2" width="11.50390625" style="0" customWidth="1"/>
    <col min="3" max="3" width="8.375" style="0" customWidth="1"/>
    <col min="4" max="4" width="26.375" style="0" customWidth="1"/>
    <col min="5" max="5" width="36.75390625" style="0" customWidth="1"/>
  </cols>
  <sheetData>
    <row r="1" spans="1:5" ht="40.5" customHeight="1">
      <c r="A1" s="38" t="s">
        <v>152</v>
      </c>
      <c r="B1" s="38"/>
      <c r="C1" s="38"/>
      <c r="D1" s="38"/>
      <c r="E1" s="38"/>
    </row>
    <row r="2" spans="1:5" ht="24.75" customHeight="1">
      <c r="A2" s="31" t="s">
        <v>151</v>
      </c>
      <c r="B2" s="31"/>
      <c r="C2" s="31"/>
      <c r="D2" s="31"/>
      <c r="E2" s="31"/>
    </row>
    <row r="3" spans="1:5" ht="21.75" customHeight="1">
      <c r="A3" s="5" t="s">
        <v>17</v>
      </c>
      <c r="B3" s="5" t="s">
        <v>18</v>
      </c>
      <c r="C3" s="5" t="s">
        <v>7</v>
      </c>
      <c r="D3" s="5" t="s">
        <v>19</v>
      </c>
      <c r="E3" s="5" t="s">
        <v>146</v>
      </c>
    </row>
    <row r="4" spans="1:5" ht="21.75" customHeight="1">
      <c r="A4" s="5">
        <v>1</v>
      </c>
      <c r="B4" s="5" t="s">
        <v>1</v>
      </c>
      <c r="C4" s="3" t="s">
        <v>20</v>
      </c>
      <c r="D4" s="55">
        <f>45448.895+8922.9</f>
        <v>54371.795</v>
      </c>
      <c r="E4" s="55">
        <f aca="true" t="shared" si="0" ref="E4:E9">D4/94.28</f>
        <v>576.7055048790836</v>
      </c>
    </row>
    <row r="5" spans="1:5" ht="21.75" customHeight="1">
      <c r="A5" s="5">
        <v>2</v>
      </c>
      <c r="B5" s="5" t="s">
        <v>21</v>
      </c>
      <c r="C5" s="3" t="s">
        <v>8</v>
      </c>
      <c r="D5" s="55">
        <f>522925/1000</f>
        <v>522.925</v>
      </c>
      <c r="E5" s="55">
        <f t="shared" si="0"/>
        <v>5.546510394569367</v>
      </c>
    </row>
    <row r="6" spans="1:5" ht="21.75" customHeight="1">
      <c r="A6" s="5">
        <v>3</v>
      </c>
      <c r="B6" s="5" t="s">
        <v>109</v>
      </c>
      <c r="C6" s="3" t="s">
        <v>110</v>
      </c>
      <c r="D6" s="55">
        <f>1207.191</f>
        <v>1207.191</v>
      </c>
      <c r="E6" s="55">
        <f t="shared" si="0"/>
        <v>12.804316928298684</v>
      </c>
    </row>
    <row r="7" spans="1:5" ht="21.75" customHeight="1">
      <c r="A7" s="5">
        <v>4</v>
      </c>
      <c r="B7" s="5" t="s">
        <v>111</v>
      </c>
      <c r="C7" s="3" t="s">
        <v>110</v>
      </c>
      <c r="D7" s="55">
        <v>313.2</v>
      </c>
      <c r="E7" s="55">
        <f t="shared" si="0"/>
        <v>3.3220195163343234</v>
      </c>
    </row>
    <row r="8" spans="1:5" ht="21.75" customHeight="1">
      <c r="A8" s="5">
        <v>5</v>
      </c>
      <c r="B8" s="5" t="s">
        <v>112</v>
      </c>
      <c r="C8" s="3" t="s">
        <v>8</v>
      </c>
      <c r="D8" s="55">
        <v>621.515</v>
      </c>
      <c r="E8" s="55">
        <f t="shared" si="0"/>
        <v>6.592225286380993</v>
      </c>
    </row>
    <row r="9" spans="1:5" ht="21.75" customHeight="1">
      <c r="A9" s="5">
        <v>6</v>
      </c>
      <c r="B9" s="5" t="s">
        <v>113</v>
      </c>
      <c r="C9" s="3" t="s">
        <v>114</v>
      </c>
      <c r="D9" s="55">
        <v>3937.05</v>
      </c>
      <c r="E9" s="55">
        <f t="shared" si="0"/>
        <v>41.75912176495545</v>
      </c>
    </row>
    <row r="10" spans="1:5" ht="21.75" customHeight="1">
      <c r="A10" s="5">
        <v>8</v>
      </c>
      <c r="B10" s="5" t="s">
        <v>115</v>
      </c>
      <c r="C10" s="3" t="s">
        <v>110</v>
      </c>
      <c r="D10" s="55">
        <v>153</v>
      </c>
      <c r="E10" s="55">
        <f>D10/94.28</f>
        <v>1.6228256257955027</v>
      </c>
    </row>
    <row r="11" spans="1:5" ht="21.75" customHeight="1">
      <c r="A11" s="5">
        <v>9</v>
      </c>
      <c r="B11" s="5" t="s">
        <v>116</v>
      </c>
      <c r="C11" s="3" t="s">
        <v>110</v>
      </c>
      <c r="D11" s="55">
        <v>2.5</v>
      </c>
      <c r="E11" s="55">
        <f>D11/94.28</f>
        <v>0.026516758591429785</v>
      </c>
    </row>
    <row r="12" spans="1:5" ht="21.75" customHeight="1">
      <c r="A12" s="5">
        <v>10</v>
      </c>
      <c r="B12" s="5" t="s">
        <v>117</v>
      </c>
      <c r="C12" s="3" t="s">
        <v>118</v>
      </c>
      <c r="D12" s="55">
        <v>55445</v>
      </c>
      <c r="E12" s="55">
        <f>D12/94.28</f>
        <v>588.0886720407298</v>
      </c>
    </row>
    <row r="13" spans="1:5" ht="21.75" customHeight="1">
      <c r="A13" s="5">
        <v>11</v>
      </c>
      <c r="B13" s="5" t="s">
        <v>119</v>
      </c>
      <c r="C13" s="3" t="s">
        <v>118</v>
      </c>
      <c r="D13" s="55">
        <v>1274</v>
      </c>
      <c r="E13" s="55">
        <f>D13/94.28</f>
        <v>13.512940178192618</v>
      </c>
    </row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</sheetData>
  <sheetProtection/>
  <mergeCells count="2">
    <mergeCell ref="A1:E1"/>
    <mergeCell ref="A2:E2"/>
  </mergeCells>
  <printOptions/>
  <pageMargins left="0.9448818897637796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Think</cp:lastModifiedBy>
  <cp:lastPrinted>2008-10-15T08:53:23Z</cp:lastPrinted>
  <dcterms:created xsi:type="dcterms:W3CDTF">2008-03-28T07:48:10Z</dcterms:created>
  <dcterms:modified xsi:type="dcterms:W3CDTF">2015-03-12T07:04:42Z</dcterms:modified>
  <cp:category/>
  <cp:version/>
  <cp:contentType/>
  <cp:contentStatus/>
</cp:coreProperties>
</file>