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1125" windowWidth="14955" windowHeight="8805" activeTab="0"/>
  </bookViews>
  <sheets>
    <sheet name="表2－1" sheetId="1" r:id="rId1"/>
    <sheet name="表2－2" sheetId="2" r:id="rId2"/>
    <sheet name="表2－3" sheetId="3" r:id="rId3"/>
    <sheet name="表2－4" sheetId="4" r:id="rId4"/>
  </sheets>
  <definedNames/>
  <calcPr fullCalcOnLoad="1"/>
</workbook>
</file>

<file path=xl/sharedStrings.xml><?xml version="1.0" encoding="utf-8"?>
<sst xmlns="http://schemas.openxmlformats.org/spreadsheetml/2006/main" count="180" uniqueCount="151">
  <si>
    <t>小计</t>
  </si>
  <si>
    <t>人工</t>
  </si>
  <si>
    <t>%</t>
  </si>
  <si>
    <t>内　　容</t>
  </si>
  <si>
    <t>总    计</t>
  </si>
  <si>
    <t>地下</t>
  </si>
  <si>
    <t>电气</t>
  </si>
  <si>
    <t>单位</t>
  </si>
  <si>
    <t>t</t>
  </si>
  <si>
    <t>……</t>
  </si>
  <si>
    <t>电线</t>
  </si>
  <si>
    <t>m</t>
  </si>
  <si>
    <t>电缆</t>
  </si>
  <si>
    <t>电气管</t>
  </si>
  <si>
    <t>给、排水管</t>
  </si>
  <si>
    <t>暖气管</t>
  </si>
  <si>
    <t>燃气管</t>
  </si>
  <si>
    <t>序号</t>
  </si>
  <si>
    <t>名称</t>
  </si>
  <si>
    <t>总消耗量</t>
  </si>
  <si>
    <t>每百平方米消耗量</t>
  </si>
  <si>
    <t>工日</t>
  </si>
  <si>
    <t>水泥</t>
  </si>
  <si>
    <t>名   称</t>
  </si>
  <si>
    <t>强电</t>
  </si>
  <si>
    <t>%</t>
  </si>
  <si>
    <t>小计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</si>
  <si>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</si>
  <si>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</si>
  <si>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t>工程地点</t>
  </si>
  <si>
    <t>开工日期</t>
  </si>
  <si>
    <t>竣工日期</t>
  </si>
  <si>
    <r>
      <t>建筑面积(m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)</t>
    </r>
  </si>
  <si>
    <t>建安造价(万元)</t>
  </si>
  <si>
    <r>
      <t>平米造价(元/m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)</t>
    </r>
  </si>
  <si>
    <t>计价方式</t>
  </si>
  <si>
    <t>合同计价类型</t>
  </si>
  <si>
    <t>地上层数</t>
  </si>
  <si>
    <t>地下层数</t>
  </si>
  <si>
    <t>标准层高(m)</t>
  </si>
  <si>
    <t>檐高(m)</t>
  </si>
  <si>
    <t>结构类型</t>
  </si>
  <si>
    <t>抗震设防烈度</t>
  </si>
  <si>
    <t>建       筑      工      程</t>
  </si>
  <si>
    <t>基础类型/深度</t>
  </si>
  <si>
    <t>外墙类型</t>
  </si>
  <si>
    <t>内墙类型</t>
  </si>
  <si>
    <t>地面面层</t>
  </si>
  <si>
    <t>屋面防水、保温</t>
  </si>
  <si>
    <t>门窗</t>
  </si>
  <si>
    <t>墙面保温隔热</t>
  </si>
  <si>
    <t>内装修</t>
  </si>
  <si>
    <t>外装修</t>
  </si>
  <si>
    <t>安        装          工         程</t>
  </si>
  <si>
    <t>给水</t>
  </si>
  <si>
    <t>排水</t>
  </si>
  <si>
    <t>空调、采暖</t>
  </si>
  <si>
    <t>燃气</t>
  </si>
  <si>
    <t>强电</t>
  </si>
  <si>
    <t>弱电</t>
  </si>
  <si>
    <t>电梯</t>
  </si>
  <si>
    <t>消防工程</t>
  </si>
  <si>
    <t>楼宇智能</t>
  </si>
  <si>
    <t>其他说明事项</t>
  </si>
  <si>
    <t>工程项目编号：</t>
  </si>
  <si>
    <t>建
筑
工
程</t>
  </si>
  <si>
    <t>基础（包括桩基础）</t>
  </si>
  <si>
    <t>地上</t>
  </si>
  <si>
    <t>安
装
工
程</t>
  </si>
  <si>
    <t>给水排水</t>
  </si>
  <si>
    <t>弱电</t>
  </si>
  <si>
    <t>空调、采暖</t>
  </si>
  <si>
    <t>燃气</t>
  </si>
  <si>
    <t>电梯</t>
  </si>
  <si>
    <t>楼宇智能</t>
  </si>
  <si>
    <t>装饰工程</t>
  </si>
  <si>
    <t xml:space="preserve">          费用                                                                                                    项目</t>
  </si>
  <si>
    <t>平米造价</t>
  </si>
  <si>
    <t>人工费</t>
  </si>
  <si>
    <t>材料费</t>
  </si>
  <si>
    <t>机械费</t>
  </si>
  <si>
    <t>措施费</t>
  </si>
  <si>
    <t>规费</t>
  </si>
  <si>
    <t>企业管理费</t>
  </si>
  <si>
    <t>利润</t>
  </si>
  <si>
    <t>税金</t>
  </si>
  <si>
    <t>项目名称</t>
  </si>
  <si>
    <t>单位</t>
  </si>
  <si>
    <t>工程量</t>
  </si>
  <si>
    <t>每百平方米工程量</t>
  </si>
  <si>
    <t>备注</t>
  </si>
  <si>
    <t>基础
（桩基础）</t>
  </si>
  <si>
    <t>土石方</t>
  </si>
  <si>
    <t>混凝土</t>
  </si>
  <si>
    <t>钢筋</t>
  </si>
  <si>
    <t>模板</t>
  </si>
  <si>
    <t>建        筑</t>
  </si>
  <si>
    <t>土石方</t>
  </si>
  <si>
    <t>砌体</t>
  </si>
  <si>
    <t>门窗</t>
  </si>
  <si>
    <t>屋面</t>
  </si>
  <si>
    <t>楼地面</t>
  </si>
  <si>
    <t>内墙面</t>
  </si>
  <si>
    <t>外墙面</t>
  </si>
  <si>
    <t>……</t>
  </si>
  <si>
    <t>安       装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</si>
  <si>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</si>
  <si>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3</t>
    </r>
  </si>
  <si>
    <t>t</t>
  </si>
  <si>
    <r>
      <t>m</t>
    </r>
    <r>
      <rPr>
        <vertAlign val="superscript"/>
        <sz val="10"/>
        <rFont val="宋体"/>
        <family val="0"/>
      </rPr>
      <t>2</t>
    </r>
  </si>
  <si>
    <t>砂</t>
  </si>
  <si>
    <t>t</t>
  </si>
  <si>
    <t>石子</t>
  </si>
  <si>
    <t>钢筋</t>
  </si>
  <si>
    <t>商品混凝土</t>
  </si>
  <si>
    <t>m3</t>
  </si>
  <si>
    <t>钢管</t>
  </si>
  <si>
    <t>型钢</t>
  </si>
  <si>
    <t>电线</t>
  </si>
  <si>
    <t>m</t>
  </si>
  <si>
    <t>电缆</t>
  </si>
  <si>
    <t>04定额</t>
  </si>
  <si>
    <t>7度</t>
  </si>
  <si>
    <t>市政自来水干管上引入，生活给水、消防给水</t>
  </si>
  <si>
    <t xml:space="preserve">污水、雨水、空调冷凝水 </t>
  </si>
  <si>
    <t xml:space="preserve">无 </t>
  </si>
  <si>
    <t>由小区就近变电所采用低压电缆经桥架引入，普通照明、应急照明、消防电梯、正压风机、潜污泵等</t>
  </si>
  <si>
    <t>消火栓系统、喷淋系统</t>
  </si>
  <si>
    <t>无</t>
  </si>
  <si>
    <t>加气混凝土砌块</t>
  </si>
  <si>
    <t>消防</t>
  </si>
  <si>
    <t>无，由甲方单独分包</t>
  </si>
  <si>
    <t>江苏省江阴市，北临君巫路，西靠澄康路</t>
  </si>
  <si>
    <t>费率合同</t>
  </si>
  <si>
    <t>现浇框架</t>
  </si>
  <si>
    <t>长江淤泥空心砖，</t>
  </si>
  <si>
    <r>
      <t>满堂基础，-</t>
    </r>
    <r>
      <rPr>
        <sz val="9"/>
        <rFont val="宋体"/>
        <family val="0"/>
      </rPr>
      <t>11</t>
    </r>
    <r>
      <rPr>
        <sz val="9"/>
        <rFont val="宋体"/>
        <family val="0"/>
      </rPr>
      <t>m</t>
    </r>
  </si>
  <si>
    <t>水泥砂浆</t>
  </si>
  <si>
    <t>泡沫玻璃板，高聚物改性沥青防水涂膜、SBS防水卷材</t>
  </si>
  <si>
    <t>半硬质岩棉板</t>
  </si>
  <si>
    <t>石材及涂料</t>
  </si>
  <si>
    <t>刮腻子</t>
  </si>
  <si>
    <t>排风、排烟、从换热站外墙皮算至管井内的热水表处采暖管</t>
  </si>
  <si>
    <t>某住宅2#楼建筑工程项目造价分析表</t>
  </si>
  <si>
    <t>某住宅建筑项目2#楼工程概况表
（江苏天衡工程咨询管理有限公司）</t>
  </si>
  <si>
    <t>工程项目名称：某住宅2#楼项目       </t>
  </si>
  <si>
    <t>工程项目名称：某住宅2#楼项目                                 工程项目编号：</t>
  </si>
  <si>
    <t> 某住宅2#楼建筑工程项目主要工程量表</t>
  </si>
  <si>
    <r>
      <t>工程项目名称：某住宅2#楼项目                  工程项目编号：  </t>
    </r>
  </si>
  <si>
    <t>某住宅2#楼建筑工程项目
人工及主要材料（半成品）消耗量表</t>
  </si>
  <si>
    <r>
      <t>工程项目名称：某住宅2#楼项目                                     工程项目编号：                                      单位:元/m</t>
    </r>
    <r>
      <rPr>
        <b/>
        <vertAlign val="superscript"/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</si>
</sst>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0.00000000_ "/>
    <numFmt numFmtId="190" formatCode="0.0000000_ "/>
    <numFmt numFmtId="191" formatCode="0.000000_ "/>
    <numFmt numFmtId="192" formatCode="0.00000_ "/>
    <numFmt numFmtId="193" formatCode="0.00_ "/>
    <numFmt numFmtId="194" formatCode="0.00_);[Red]\(0.00\)"/>
    <numFmt numFmtId="195" formatCode="[$-F800]dddd\,\ mmmm\ dd\,\ yyyy"/>
    <numFmt numFmtId="196" formatCode="yyyy&quot;年&quot;m&quot;月&quot;d&quot;日&quot;"/>
  </numFmts>
  <fonts count="2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vertAlign val="superscript"/>
      <sz val="9"/>
      <name val="宋体"/>
      <family val="0"/>
    </font>
    <font>
      <b/>
      <vertAlign val="superscript"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00390625" defaultRowHeight="10.5" customHeight="1"/>
  <cols>
    <col min="1" max="1" width="4.375" style="20" customWidth="1"/>
    <col min="2" max="2" width="13.625" style="20" customWidth="1"/>
    <col min="3" max="3" width="32.50390625" style="20" customWidth="1"/>
    <col min="4" max="4" width="66.00390625" style="20" customWidth="1"/>
    <col min="5" max="16384" width="9.00390625" style="20" customWidth="1"/>
  </cols>
  <sheetData>
    <row r="1" spans="1:4" ht="31.5" customHeight="1">
      <c r="A1" s="26" t="s">
        <v>144</v>
      </c>
      <c r="B1" s="26"/>
      <c r="C1" s="26"/>
      <c r="D1" s="26"/>
    </row>
    <row r="2" spans="1:4" ht="23.25" customHeight="1">
      <c r="A2" s="36" t="s">
        <v>145</v>
      </c>
      <c r="B2" s="37"/>
      <c r="C2" s="38"/>
      <c r="D2" s="21" t="s">
        <v>64</v>
      </c>
    </row>
    <row r="3" spans="1:4" ht="15" customHeight="1">
      <c r="A3" s="25" t="s">
        <v>23</v>
      </c>
      <c r="B3" s="25"/>
      <c r="C3" s="25" t="s">
        <v>3</v>
      </c>
      <c r="D3" s="27"/>
    </row>
    <row r="4" spans="1:4" ht="15" customHeight="1">
      <c r="A4" s="25" t="s">
        <v>29</v>
      </c>
      <c r="B4" s="25"/>
      <c r="C4" s="28" t="s">
        <v>132</v>
      </c>
      <c r="D4" s="29"/>
    </row>
    <row r="5" spans="1:4" ht="15" customHeight="1">
      <c r="A5" s="25" t="s">
        <v>30</v>
      </c>
      <c r="B5" s="25"/>
      <c r="C5" s="30">
        <v>41183</v>
      </c>
      <c r="D5" s="29"/>
    </row>
    <row r="6" spans="1:4" ht="15" customHeight="1">
      <c r="A6" s="25" t="s">
        <v>31</v>
      </c>
      <c r="B6" s="25"/>
      <c r="C6" s="32"/>
      <c r="D6" s="33"/>
    </row>
    <row r="7" spans="1:4" ht="15" customHeight="1">
      <c r="A7" s="25" t="s">
        <v>32</v>
      </c>
      <c r="B7" s="25"/>
      <c r="C7" s="31">
        <v>42119.2</v>
      </c>
      <c r="D7" s="29"/>
    </row>
    <row r="8" spans="1:4" ht="15" customHeight="1">
      <c r="A8" s="25" t="s">
        <v>33</v>
      </c>
      <c r="B8" s="25"/>
      <c r="C8" s="31">
        <f>6439+1239.47</f>
        <v>7678.47</v>
      </c>
      <c r="D8" s="29"/>
    </row>
    <row r="9" spans="1:4" ht="15" customHeight="1">
      <c r="A9" s="25" t="s">
        <v>34</v>
      </c>
      <c r="B9" s="25"/>
      <c r="C9" s="34">
        <f>C8*10000/C7</f>
        <v>1823.0332010104657</v>
      </c>
      <c r="D9" s="35"/>
    </row>
    <row r="10" spans="1:4" ht="15" customHeight="1">
      <c r="A10" s="25" t="s">
        <v>35</v>
      </c>
      <c r="B10" s="25"/>
      <c r="C10" s="31" t="s">
        <v>121</v>
      </c>
      <c r="D10" s="29"/>
    </row>
    <row r="11" spans="1:4" ht="15" customHeight="1">
      <c r="A11" s="25" t="s">
        <v>36</v>
      </c>
      <c r="B11" s="25"/>
      <c r="C11" s="28" t="s">
        <v>133</v>
      </c>
      <c r="D11" s="29"/>
    </row>
    <row r="12" spans="1:4" ht="15" customHeight="1">
      <c r="A12" s="25" t="s">
        <v>37</v>
      </c>
      <c r="B12" s="25"/>
      <c r="C12" s="31">
        <v>28</v>
      </c>
      <c r="D12" s="29"/>
    </row>
    <row r="13" spans="1:4" ht="15" customHeight="1">
      <c r="A13" s="25" t="s">
        <v>38</v>
      </c>
      <c r="B13" s="25"/>
      <c r="C13" s="31">
        <v>3</v>
      </c>
      <c r="D13" s="29"/>
    </row>
    <row r="14" spans="1:4" ht="15" customHeight="1">
      <c r="A14" s="25" t="s">
        <v>39</v>
      </c>
      <c r="B14" s="25"/>
      <c r="C14" s="31">
        <v>3</v>
      </c>
      <c r="D14" s="29"/>
    </row>
    <row r="15" spans="1:4" ht="15" customHeight="1">
      <c r="A15" s="25" t="s">
        <v>40</v>
      </c>
      <c r="B15" s="25"/>
      <c r="C15" s="31">
        <v>85.5</v>
      </c>
      <c r="D15" s="29"/>
    </row>
    <row r="16" spans="1:4" ht="15" customHeight="1">
      <c r="A16" s="25" t="s">
        <v>41</v>
      </c>
      <c r="B16" s="25"/>
      <c r="C16" s="28" t="s">
        <v>134</v>
      </c>
      <c r="D16" s="29"/>
    </row>
    <row r="17" spans="1:4" ht="15" customHeight="1">
      <c r="A17" s="25" t="s">
        <v>42</v>
      </c>
      <c r="B17" s="25"/>
      <c r="C17" s="31" t="s">
        <v>122</v>
      </c>
      <c r="D17" s="29"/>
    </row>
    <row r="18" spans="1:4" ht="15" customHeight="1">
      <c r="A18" s="25" t="s">
        <v>43</v>
      </c>
      <c r="B18" s="22" t="s">
        <v>44</v>
      </c>
      <c r="C18" s="28" t="s">
        <v>136</v>
      </c>
      <c r="D18" s="29"/>
    </row>
    <row r="19" spans="1:4" ht="15" customHeight="1">
      <c r="A19" s="25"/>
      <c r="B19" s="22" t="s">
        <v>45</v>
      </c>
      <c r="C19" s="28" t="s">
        <v>135</v>
      </c>
      <c r="D19" s="29"/>
    </row>
    <row r="20" spans="1:4" ht="15" customHeight="1">
      <c r="A20" s="25"/>
      <c r="B20" s="22" t="s">
        <v>46</v>
      </c>
      <c r="C20" s="31" t="s">
        <v>129</v>
      </c>
      <c r="D20" s="29"/>
    </row>
    <row r="21" spans="1:4" ht="15" customHeight="1">
      <c r="A21" s="25"/>
      <c r="B21" s="22" t="s">
        <v>47</v>
      </c>
      <c r="C21" s="28" t="s">
        <v>137</v>
      </c>
      <c r="D21" s="29"/>
    </row>
    <row r="22" spans="1:4" ht="15" customHeight="1">
      <c r="A22" s="25"/>
      <c r="B22" s="22" t="s">
        <v>48</v>
      </c>
      <c r="C22" s="28" t="s">
        <v>138</v>
      </c>
      <c r="D22" s="29"/>
    </row>
    <row r="23" spans="1:4" ht="15" customHeight="1">
      <c r="A23" s="25"/>
      <c r="B23" s="22" t="s">
        <v>49</v>
      </c>
      <c r="C23" s="31" t="s">
        <v>131</v>
      </c>
      <c r="D23" s="29"/>
    </row>
    <row r="24" spans="1:4" ht="15" customHeight="1">
      <c r="A24" s="25"/>
      <c r="B24" s="22" t="s">
        <v>50</v>
      </c>
      <c r="C24" s="28" t="s">
        <v>139</v>
      </c>
      <c r="D24" s="29"/>
    </row>
    <row r="25" spans="1:4" ht="15" customHeight="1">
      <c r="A25" s="25"/>
      <c r="B25" s="22" t="s">
        <v>51</v>
      </c>
      <c r="C25" s="28" t="s">
        <v>141</v>
      </c>
      <c r="D25" s="29"/>
    </row>
    <row r="26" spans="1:4" ht="15" customHeight="1">
      <c r="A26" s="25"/>
      <c r="B26" s="22" t="s">
        <v>52</v>
      </c>
      <c r="C26" s="28" t="s">
        <v>140</v>
      </c>
      <c r="D26" s="29"/>
    </row>
    <row r="27" spans="1:4" ht="15" customHeight="1">
      <c r="A27" s="25" t="s">
        <v>53</v>
      </c>
      <c r="B27" s="22" t="s">
        <v>54</v>
      </c>
      <c r="C27" s="31" t="s">
        <v>123</v>
      </c>
      <c r="D27" s="29"/>
    </row>
    <row r="28" spans="1:4" ht="15" customHeight="1">
      <c r="A28" s="27"/>
      <c r="B28" s="22" t="s">
        <v>55</v>
      </c>
      <c r="C28" s="31" t="s">
        <v>124</v>
      </c>
      <c r="D28" s="29"/>
    </row>
    <row r="29" spans="1:4" ht="15" customHeight="1">
      <c r="A29" s="27"/>
      <c r="B29" s="22" t="s">
        <v>56</v>
      </c>
      <c r="C29" s="31" t="s">
        <v>142</v>
      </c>
      <c r="D29" s="29"/>
    </row>
    <row r="30" spans="1:4" ht="15" customHeight="1">
      <c r="A30" s="27"/>
      <c r="B30" s="22" t="s">
        <v>57</v>
      </c>
      <c r="C30" s="31" t="s">
        <v>125</v>
      </c>
      <c r="D30" s="29"/>
    </row>
    <row r="31" spans="1:4" ht="15" customHeight="1">
      <c r="A31" s="27"/>
      <c r="B31" s="22" t="s">
        <v>58</v>
      </c>
      <c r="C31" s="31" t="s">
        <v>126</v>
      </c>
      <c r="D31" s="29"/>
    </row>
    <row r="32" spans="1:4" ht="15" customHeight="1">
      <c r="A32" s="27"/>
      <c r="B32" s="22" t="s">
        <v>59</v>
      </c>
      <c r="C32" s="31" t="s">
        <v>128</v>
      </c>
      <c r="D32" s="29"/>
    </row>
    <row r="33" spans="1:4" ht="15" customHeight="1">
      <c r="A33" s="27"/>
      <c r="B33" s="22" t="s">
        <v>60</v>
      </c>
      <c r="C33" s="31" t="s">
        <v>128</v>
      </c>
      <c r="D33" s="29"/>
    </row>
    <row r="34" spans="1:4" ht="15" customHeight="1">
      <c r="A34" s="27"/>
      <c r="B34" s="22" t="s">
        <v>61</v>
      </c>
      <c r="C34" s="31" t="s">
        <v>127</v>
      </c>
      <c r="D34" s="29"/>
    </row>
    <row r="35" spans="1:4" ht="15" customHeight="1">
      <c r="A35" s="27"/>
      <c r="B35" s="22" t="s">
        <v>62</v>
      </c>
      <c r="C35" s="31" t="s">
        <v>128</v>
      </c>
      <c r="D35" s="29"/>
    </row>
    <row r="36" spans="1:4" ht="15" customHeight="1">
      <c r="A36" s="25" t="s">
        <v>63</v>
      </c>
      <c r="B36" s="25"/>
      <c r="C36" s="31"/>
      <c r="D36" s="29"/>
    </row>
  </sheetData>
  <sheetProtection/>
  <mergeCells count="54">
    <mergeCell ref="C34:D34"/>
    <mergeCell ref="C35:D35"/>
    <mergeCell ref="C36:D36"/>
    <mergeCell ref="A2:C2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6:D6"/>
    <mergeCell ref="C7:D7"/>
    <mergeCell ref="C8:D8"/>
    <mergeCell ref="C9:D9"/>
    <mergeCell ref="C10:D10"/>
    <mergeCell ref="C11:D11"/>
    <mergeCell ref="C12:D12"/>
    <mergeCell ref="C13:D13"/>
    <mergeCell ref="A18:A26"/>
    <mergeCell ref="A36:B36"/>
    <mergeCell ref="A14:B14"/>
    <mergeCell ref="A15:B15"/>
    <mergeCell ref="A16:B16"/>
    <mergeCell ref="A17:B17"/>
    <mergeCell ref="A27:A35"/>
    <mergeCell ref="A6:B6"/>
    <mergeCell ref="A7:B7"/>
    <mergeCell ref="A8:B8"/>
    <mergeCell ref="A9:B9"/>
    <mergeCell ref="A10:B10"/>
    <mergeCell ref="A11:B11"/>
    <mergeCell ref="A12:B12"/>
    <mergeCell ref="A13:B13"/>
    <mergeCell ref="A3:B3"/>
    <mergeCell ref="A4:B4"/>
    <mergeCell ref="A5:B5"/>
    <mergeCell ref="A1:D1"/>
    <mergeCell ref="C3:D3"/>
    <mergeCell ref="C4:D4"/>
    <mergeCell ref="C5:D5"/>
  </mergeCells>
  <printOptions/>
  <pageMargins left="0.6692913385826772" right="0.5511811023622047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ySplit="4" topLeftCell="BM8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5.125" style="11" customWidth="1"/>
    <col min="2" max="2" width="3.875" style="11" customWidth="1"/>
    <col min="3" max="3" width="5.875" style="11" customWidth="1"/>
    <col min="4" max="4" width="8.625" style="11" customWidth="1"/>
    <col min="5" max="20" width="6.25390625" style="11" customWidth="1"/>
    <col min="21" max="21" width="9.50390625" style="11" bestFit="1" customWidth="1"/>
    <col min="22" max="16384" width="9.00390625" style="11" customWidth="1"/>
  </cols>
  <sheetData>
    <row r="1" spans="1:20" ht="34.5" customHeight="1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28.5" customHeight="1">
      <c r="A2" s="41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  <c r="R2" s="42"/>
      <c r="S2" s="42"/>
      <c r="T2" s="42"/>
    </row>
    <row r="3" spans="1:20" ht="19.5" customHeight="1">
      <c r="A3" s="43" t="s">
        <v>76</v>
      </c>
      <c r="B3" s="44"/>
      <c r="C3" s="44"/>
      <c r="D3" s="39" t="s">
        <v>77</v>
      </c>
      <c r="E3" s="39" t="s">
        <v>78</v>
      </c>
      <c r="F3" s="39"/>
      <c r="G3" s="39" t="s">
        <v>79</v>
      </c>
      <c r="H3" s="39"/>
      <c r="I3" s="39" t="s">
        <v>80</v>
      </c>
      <c r="J3" s="39"/>
      <c r="K3" s="39" t="s">
        <v>81</v>
      </c>
      <c r="L3" s="39"/>
      <c r="M3" s="39" t="s">
        <v>82</v>
      </c>
      <c r="N3" s="39"/>
      <c r="O3" s="39" t="s">
        <v>83</v>
      </c>
      <c r="P3" s="39"/>
      <c r="Q3" s="39" t="s">
        <v>84</v>
      </c>
      <c r="R3" s="39"/>
      <c r="S3" s="39" t="s">
        <v>85</v>
      </c>
      <c r="T3" s="39"/>
    </row>
    <row r="4" spans="1:20" ht="18" customHeight="1">
      <c r="A4" s="44"/>
      <c r="B4" s="44"/>
      <c r="C4" s="4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9.5" customHeight="1">
      <c r="A5" s="40" t="s">
        <v>4</v>
      </c>
      <c r="B5" s="40"/>
      <c r="C5" s="40"/>
      <c r="D5" s="6">
        <f>D9+D18</f>
        <v>1823.028367225636</v>
      </c>
      <c r="E5" s="12"/>
      <c r="F5" s="13" t="s">
        <v>25</v>
      </c>
      <c r="G5" s="12"/>
      <c r="H5" s="13" t="s">
        <v>2</v>
      </c>
      <c r="I5" s="12"/>
      <c r="J5" s="13" t="s">
        <v>2</v>
      </c>
      <c r="K5" s="14"/>
      <c r="L5" s="13" t="s">
        <v>2</v>
      </c>
      <c r="M5" s="14"/>
      <c r="N5" s="13" t="s">
        <v>2</v>
      </c>
      <c r="O5" s="14"/>
      <c r="P5" s="13" t="s">
        <v>2</v>
      </c>
      <c r="Q5" s="14"/>
      <c r="R5" s="13" t="s">
        <v>2</v>
      </c>
      <c r="S5" s="14"/>
      <c r="T5" s="13" t="s">
        <v>2</v>
      </c>
    </row>
    <row r="6" spans="1:22" ht="33" customHeight="1">
      <c r="A6" s="40" t="s">
        <v>65</v>
      </c>
      <c r="B6" s="40" t="s">
        <v>66</v>
      </c>
      <c r="C6" s="40"/>
      <c r="D6" s="15">
        <f>575.3*0.4</f>
        <v>230.12</v>
      </c>
      <c r="E6" s="6">
        <f>(6414085.22*0.4)/(3*42119.03)</f>
        <v>20.30463101041659</v>
      </c>
      <c r="F6" s="9">
        <f aca="true" t="shared" si="0" ref="F6:F11">E6/D6</f>
        <v>0.08823496875724227</v>
      </c>
      <c r="G6" s="6">
        <f>(46751224.05*0.4)/(3*42119.03)</f>
        <v>147.99715330576228</v>
      </c>
      <c r="H6" s="9">
        <f aca="true" t="shared" si="1" ref="H6:H11">G6/D6</f>
        <v>0.6431303376749621</v>
      </c>
      <c r="I6" s="6">
        <f>(1354663.14*0.4)/(3*42119.03)</f>
        <v>4.288364475630137</v>
      </c>
      <c r="J6" s="9">
        <f aca="true" t="shared" si="2" ref="J6:J11">I6/D6</f>
        <v>0.018635340151356407</v>
      </c>
      <c r="K6" s="6">
        <f>(10118781.65*0.4)/(3*42119.03)</f>
        <v>32.032335185940106</v>
      </c>
      <c r="L6" s="9">
        <f aca="true" t="shared" si="3" ref="L6:L11">K6/D6</f>
        <v>0.1391983972968021</v>
      </c>
      <c r="M6" s="6">
        <f>(2375626.96*0.4)/(3*42119.03)</f>
        <v>7.520359831015418</v>
      </c>
      <c r="N6" s="9">
        <f aca="true" t="shared" si="4" ref="N6:N11">M6/D6</f>
        <v>0.03268016613512697</v>
      </c>
      <c r="O6" s="6">
        <f>(2330005.55*0.4)/(3*42119.03)</f>
        <v>7.3759392527953915</v>
      </c>
      <c r="P6" s="9">
        <f aca="true" t="shared" si="5" ref="P6:P11">O6/D6</f>
        <v>0.032052578014928695</v>
      </c>
      <c r="Q6" s="6">
        <f>(901746.38*0.4)/(3*42119.03)</f>
        <v>2.8545968572084086</v>
      </c>
      <c r="R6" s="9">
        <f aca="true" t="shared" si="6" ref="R6:R11">Q6/D6</f>
        <v>0.01240481860424304</v>
      </c>
      <c r="S6" s="6">
        <f>(2444723.77*0.4)/(3*42119.03)</f>
        <v>7.739094877857665</v>
      </c>
      <c r="T6" s="9">
        <f aca="true" t="shared" si="7" ref="T6:T11">S6/D6</f>
        <v>0.03363069215130221</v>
      </c>
      <c r="U6" s="10"/>
      <c r="V6" s="10"/>
    </row>
    <row r="7" spans="1:21" ht="19.5" customHeight="1">
      <c r="A7" s="40"/>
      <c r="B7" s="40" t="s">
        <v>67</v>
      </c>
      <c r="C7" s="40"/>
      <c r="D7" s="6">
        <f>40159481.37/42119.2</f>
        <v>953.472083277935</v>
      </c>
      <c r="E7" s="6">
        <f>4833132.559/42119.03</f>
        <v>114.7493795322447</v>
      </c>
      <c r="F7" s="9">
        <f t="shared" si="0"/>
        <v>0.12034896620963313</v>
      </c>
      <c r="G7" s="6">
        <f>18590766.64/42119.03</f>
        <v>441.3863909021647</v>
      </c>
      <c r="H7" s="9">
        <f t="shared" si="1"/>
        <v>0.4629253426956409</v>
      </c>
      <c r="I7" s="6">
        <f>942165.48/42119.03</f>
        <v>22.369116287815746</v>
      </c>
      <c r="J7" s="9">
        <f t="shared" si="2"/>
        <v>0.02346069348030948</v>
      </c>
      <c r="K7" s="6">
        <f>10648106.43/42119.03</f>
        <v>252.8098683659144</v>
      </c>
      <c r="L7" s="9">
        <f t="shared" si="3"/>
        <v>0.2651465866696182</v>
      </c>
      <c r="M7" s="6">
        <f>1312379.3/42119.03</f>
        <v>31.158820609116592</v>
      </c>
      <c r="N7" s="9">
        <f t="shared" si="4"/>
        <v>0.03267932135149244</v>
      </c>
      <c r="O7" s="6">
        <f>1789316.99/42119.03</f>
        <v>42.48238836459434</v>
      </c>
      <c r="P7" s="9">
        <f t="shared" si="5"/>
        <v>0.04455546115051889</v>
      </c>
      <c r="Q7" s="6">
        <f>693063.24/42119.03</f>
        <v>16.454871823971256</v>
      </c>
      <c r="R7" s="9">
        <f t="shared" si="6"/>
        <v>0.017257843320804073</v>
      </c>
      <c r="S7" s="6">
        <f>1350550.78/42119.03</f>
        <v>32.06509694074151</v>
      </c>
      <c r="T7" s="9">
        <f t="shared" si="7"/>
        <v>0.03362982252244359</v>
      </c>
      <c r="U7" s="10"/>
    </row>
    <row r="8" spans="1:21" ht="19.5" customHeight="1">
      <c r="A8" s="40"/>
      <c r="B8" s="40" t="s">
        <v>5</v>
      </c>
      <c r="C8" s="40"/>
      <c r="D8" s="15">
        <f>575.3*0.6</f>
        <v>345.17999999999995</v>
      </c>
      <c r="E8" s="6">
        <f>(6414085.22*0.6)/(3*42119.03)</f>
        <v>30.456946515624885</v>
      </c>
      <c r="F8" s="9">
        <f t="shared" si="0"/>
        <v>0.08823496875724228</v>
      </c>
      <c r="G8" s="6">
        <f>(46751224.05*0.6)/(3*42119.03)</f>
        <v>221.99572995864338</v>
      </c>
      <c r="H8" s="9">
        <f t="shared" si="1"/>
        <v>0.6431303376749621</v>
      </c>
      <c r="I8" s="6">
        <f>(1354663.14*0.6)/(3*42119.03)</f>
        <v>6.4325467134452055</v>
      </c>
      <c r="J8" s="9">
        <f t="shared" si="2"/>
        <v>0.018635340151356414</v>
      </c>
      <c r="K8" s="6">
        <f>(10118781.65*0.6)/(3*42119.03)</f>
        <v>48.048502778910155</v>
      </c>
      <c r="L8" s="9">
        <f t="shared" si="3"/>
        <v>0.13919839729680214</v>
      </c>
      <c r="M8" s="6">
        <f>(2375626.96*0.6)/(3*42119.03)</f>
        <v>11.280539746523127</v>
      </c>
      <c r="N8" s="9">
        <f t="shared" si="4"/>
        <v>0.032680166135126976</v>
      </c>
      <c r="O8" s="6">
        <f>(2330005.55*0.6)/(3*42119.03)</f>
        <v>11.063908879193086</v>
      </c>
      <c r="P8" s="9">
        <f t="shared" si="5"/>
        <v>0.032052578014928695</v>
      </c>
      <c r="Q8" s="6">
        <f>(901746.38*0.6)/(3*42119.03)</f>
        <v>4.281895285812612</v>
      </c>
      <c r="R8" s="9">
        <f t="shared" si="6"/>
        <v>0.01240481860424304</v>
      </c>
      <c r="S8" s="6">
        <f>(2444723.77*0.6)/(3*42119.03)</f>
        <v>11.608642316786497</v>
      </c>
      <c r="T8" s="9">
        <f t="shared" si="7"/>
        <v>0.03363069215130222</v>
      </c>
      <c r="U8" s="10"/>
    </row>
    <row r="9" spans="1:22" ht="19.5" customHeight="1">
      <c r="A9" s="40"/>
      <c r="B9" s="40" t="s">
        <v>0</v>
      </c>
      <c r="C9" s="40"/>
      <c r="D9" s="6">
        <f>SUM(D6:D8)</f>
        <v>1528.772083277935</v>
      </c>
      <c r="E9" s="6">
        <f aca="true" t="shared" si="8" ref="E9:S9">SUM(E6:E8)</f>
        <v>165.51095705828618</v>
      </c>
      <c r="F9" s="9">
        <f t="shared" si="0"/>
        <v>0.10826398445437588</v>
      </c>
      <c r="G9" s="6">
        <f t="shared" si="8"/>
        <v>811.3792741665704</v>
      </c>
      <c r="H9" s="9">
        <f t="shared" si="1"/>
        <v>0.5307392011154742</v>
      </c>
      <c r="I9" s="6">
        <f t="shared" si="8"/>
        <v>33.09002747689109</v>
      </c>
      <c r="J9" s="9">
        <f t="shared" si="2"/>
        <v>0.021644840221009733</v>
      </c>
      <c r="K9" s="6">
        <f t="shared" si="8"/>
        <v>332.8907063307647</v>
      </c>
      <c r="L9" s="9">
        <f t="shared" si="3"/>
        <v>0.2177503827889067</v>
      </c>
      <c r="M9" s="6">
        <f t="shared" si="8"/>
        <v>49.95972018665513</v>
      </c>
      <c r="N9" s="9">
        <f t="shared" si="4"/>
        <v>0.03267963925631962</v>
      </c>
      <c r="O9" s="6">
        <f t="shared" si="8"/>
        <v>60.92223649658282</v>
      </c>
      <c r="P9" s="9">
        <f t="shared" si="5"/>
        <v>0.0398504375916884</v>
      </c>
      <c r="Q9" s="6">
        <f t="shared" si="8"/>
        <v>23.59136396699228</v>
      </c>
      <c r="R9" s="9">
        <f t="shared" si="6"/>
        <v>0.015431576900860573</v>
      </c>
      <c r="S9" s="6">
        <f t="shared" si="8"/>
        <v>51.41283413538568</v>
      </c>
      <c r="T9" s="9">
        <f t="shared" si="7"/>
        <v>0.033630149776903456</v>
      </c>
      <c r="U9" s="10"/>
      <c r="V9" s="16"/>
    </row>
    <row r="10" spans="1:22" ht="19.5" customHeight="1">
      <c r="A10" s="40" t="s">
        <v>68</v>
      </c>
      <c r="B10" s="40" t="s">
        <v>69</v>
      </c>
      <c r="C10" s="40"/>
      <c r="D10" s="6">
        <v>61.8308915613307</v>
      </c>
      <c r="E10" s="6">
        <v>7.341204060143592</v>
      </c>
      <c r="F10" s="9">
        <f t="shared" si="0"/>
        <v>0.11873036074308868</v>
      </c>
      <c r="G10" s="6">
        <v>32.69489064963248</v>
      </c>
      <c r="H10" s="9">
        <f t="shared" si="1"/>
        <v>0.5287792206134061</v>
      </c>
      <c r="I10" s="6">
        <v>0.46071161133164923</v>
      </c>
      <c r="J10" s="9">
        <f t="shared" si="2"/>
        <v>0.0074511558817595995</v>
      </c>
      <c r="K10" s="6">
        <v>13.373469037873464</v>
      </c>
      <c r="L10" s="9">
        <f t="shared" si="3"/>
        <v>0.21629105937455523</v>
      </c>
      <c r="M10" s="6">
        <v>1.5028167427206596</v>
      </c>
      <c r="N10" s="9">
        <f t="shared" si="4"/>
        <v>0.024305273703355872</v>
      </c>
      <c r="O10" s="6">
        <v>3.3350998012782775</v>
      </c>
      <c r="P10" s="9">
        <f t="shared" si="5"/>
        <v>0.05393905404016627</v>
      </c>
      <c r="Q10" s="6">
        <v>1.03007170957663</v>
      </c>
      <c r="R10" s="9">
        <f t="shared" si="6"/>
        <v>0.016659499540854772</v>
      </c>
      <c r="S10" s="6">
        <v>2.079353684305495</v>
      </c>
      <c r="T10" s="9">
        <f t="shared" si="7"/>
        <v>0.033629689493365346</v>
      </c>
      <c r="U10" s="10"/>
      <c r="V10" s="10"/>
    </row>
    <row r="11" spans="1:22" ht="19.5" customHeight="1">
      <c r="A11" s="40"/>
      <c r="B11" s="40" t="s">
        <v>6</v>
      </c>
      <c r="C11" s="8" t="s">
        <v>24</v>
      </c>
      <c r="D11" s="6">
        <v>128.16797592903</v>
      </c>
      <c r="E11" s="6">
        <v>16.231126183545747</v>
      </c>
      <c r="F11" s="9">
        <f t="shared" si="0"/>
        <v>0.12663948280289103</v>
      </c>
      <c r="G11" s="6">
        <v>78.8575067332713</v>
      </c>
      <c r="H11" s="9">
        <f t="shared" si="1"/>
        <v>0.6152668493176234</v>
      </c>
      <c r="I11" s="6">
        <v>1.3332899520883588</v>
      </c>
      <c r="J11" s="9">
        <f t="shared" si="2"/>
        <v>0.010402676194454664</v>
      </c>
      <c r="K11" s="6">
        <v>14.610172676594049</v>
      </c>
      <c r="L11" s="9">
        <f t="shared" si="3"/>
        <v>0.11399238047329457</v>
      </c>
      <c r="M11" s="6">
        <v>3.115158489477483</v>
      </c>
      <c r="N11" s="9">
        <f t="shared" si="4"/>
        <v>0.024305279590296634</v>
      </c>
      <c r="O11" s="6">
        <v>7.42196151755019</v>
      </c>
      <c r="P11" s="9">
        <f t="shared" si="5"/>
        <v>0.05790808088956578</v>
      </c>
      <c r="Q11" s="6">
        <v>2.2782049837128913</v>
      </c>
      <c r="R11" s="9">
        <f t="shared" si="6"/>
        <v>0.017775149893717552</v>
      </c>
      <c r="S11" s="6">
        <v>4.310248717924368</v>
      </c>
      <c r="T11" s="9">
        <f t="shared" si="7"/>
        <v>0.03362968547081578</v>
      </c>
      <c r="U11" s="10"/>
      <c r="V11" s="10"/>
    </row>
    <row r="12" spans="1:22" ht="19.5" customHeight="1">
      <c r="A12" s="40"/>
      <c r="B12" s="40"/>
      <c r="C12" s="8" t="s">
        <v>70</v>
      </c>
      <c r="D12" s="6"/>
      <c r="E12" s="6"/>
      <c r="F12" s="9"/>
      <c r="G12" s="6"/>
      <c r="H12" s="9"/>
      <c r="I12" s="6"/>
      <c r="J12" s="9"/>
      <c r="K12" s="6"/>
      <c r="L12" s="9"/>
      <c r="M12" s="6"/>
      <c r="N12" s="9"/>
      <c r="O12" s="6"/>
      <c r="P12" s="9"/>
      <c r="Q12" s="6"/>
      <c r="R12" s="9"/>
      <c r="S12" s="6"/>
      <c r="T12" s="9"/>
      <c r="U12" s="10"/>
      <c r="V12" s="10"/>
    </row>
    <row r="13" spans="1:22" ht="19.5" customHeight="1">
      <c r="A13" s="40"/>
      <c r="B13" s="40" t="s">
        <v>71</v>
      </c>
      <c r="C13" s="40"/>
      <c r="D13" s="6">
        <v>52.05676985199148</v>
      </c>
      <c r="E13" s="6">
        <v>4.080002374214135</v>
      </c>
      <c r="F13" s="9">
        <f>E13/D13</f>
        <v>0.07837601883125773</v>
      </c>
      <c r="G13" s="6">
        <v>28.039267281904696</v>
      </c>
      <c r="H13" s="9">
        <f>G13/D13</f>
        <v>0.5386286425689939</v>
      </c>
      <c r="I13" s="6">
        <v>0.650281029791639</v>
      </c>
      <c r="J13" s="9">
        <f>I13/D13</f>
        <v>0.012491766808438689</v>
      </c>
      <c r="K13" s="6">
        <v>13.168212673792477</v>
      </c>
      <c r="L13" s="9">
        <f>K13/D13</f>
        <v>0.2529586970384931</v>
      </c>
      <c r="M13" s="6">
        <v>1.2652543151341906</v>
      </c>
      <c r="N13" s="9">
        <f>M13/D13</f>
        <v>0.0243052790008212</v>
      </c>
      <c r="O13" s="6">
        <v>1.6984985742844116</v>
      </c>
      <c r="P13" s="9">
        <f>O13/D13</f>
        <v>0.032627813425873446</v>
      </c>
      <c r="Q13" s="6">
        <v>0.571652022118179</v>
      </c>
      <c r="R13" s="9">
        <f>Q13/D13</f>
        <v>0.01098131950452377</v>
      </c>
      <c r="S13" s="6">
        <v>1.7506529860491178</v>
      </c>
      <c r="T13" s="9">
        <f>S13/D13</f>
        <v>0.033629689107230396</v>
      </c>
      <c r="U13" s="10"/>
      <c r="V13" s="10"/>
    </row>
    <row r="14" spans="1:22" ht="19.5" customHeight="1">
      <c r="A14" s="40"/>
      <c r="B14" s="40" t="s">
        <v>72</v>
      </c>
      <c r="C14" s="40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/>
      <c r="V14" s="10"/>
    </row>
    <row r="15" spans="1:22" ht="19.5" customHeight="1">
      <c r="A15" s="40"/>
      <c r="B15" s="40" t="s">
        <v>73</v>
      </c>
      <c r="C15" s="40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0"/>
      <c r="V15" s="10"/>
    </row>
    <row r="16" spans="1:22" ht="19.5" customHeight="1">
      <c r="A16" s="40"/>
      <c r="B16" s="40" t="s">
        <v>74</v>
      </c>
      <c r="C16" s="40"/>
      <c r="D16" s="6"/>
      <c r="E16" s="6"/>
      <c r="F16" s="9"/>
      <c r="G16" s="6"/>
      <c r="H16" s="9"/>
      <c r="I16" s="6"/>
      <c r="J16" s="9"/>
      <c r="K16" s="6"/>
      <c r="L16" s="9"/>
      <c r="M16" s="6"/>
      <c r="N16" s="9"/>
      <c r="O16" s="6"/>
      <c r="P16" s="9"/>
      <c r="Q16" s="6"/>
      <c r="R16" s="9"/>
      <c r="S16" s="6"/>
      <c r="T16" s="9"/>
      <c r="U16" s="10"/>
      <c r="V16" s="10"/>
    </row>
    <row r="17" spans="1:22" ht="19.5" customHeight="1">
      <c r="A17" s="40"/>
      <c r="B17" s="40" t="s">
        <v>130</v>
      </c>
      <c r="C17" s="40"/>
      <c r="D17" s="6">
        <v>52.20064660534863</v>
      </c>
      <c r="E17" s="6">
        <v>6.341161276804877</v>
      </c>
      <c r="F17" s="9">
        <f>E17/D17</f>
        <v>0.1214766806385717</v>
      </c>
      <c r="G17" s="6">
        <v>25.395487502136795</v>
      </c>
      <c r="H17" s="9">
        <f>G17/D17</f>
        <v>0.48649756571281055</v>
      </c>
      <c r="I17" s="6">
        <v>0.688843265066763</v>
      </c>
      <c r="J17" s="9">
        <f>I17/D17</f>
        <v>0.013196067670858737</v>
      </c>
      <c r="K17" s="6">
        <v>13.168651753831982</v>
      </c>
      <c r="L17" s="9">
        <f>K17/D17</f>
        <v>0.25226989721776133</v>
      </c>
      <c r="M17" s="6">
        <v>1.268751141996999</v>
      </c>
      <c r="N17" s="9">
        <f>M17/D17</f>
        <v>0.024305276361595855</v>
      </c>
      <c r="O17" s="6">
        <v>2.6921584728579844</v>
      </c>
      <c r="P17" s="9">
        <f>O17/D17</f>
        <v>0.051573278262460026</v>
      </c>
      <c r="Q17" s="6">
        <v>0.8901029328667213</v>
      </c>
      <c r="R17" s="9">
        <f>Q17/D17</f>
        <v>0.01705156910404092</v>
      </c>
      <c r="S17" s="6">
        <v>1.7554914920036468</v>
      </c>
      <c r="T17" s="9">
        <f>S17/D17</f>
        <v>0.033629688637300786</v>
      </c>
      <c r="U17" s="10"/>
      <c r="V17" s="10"/>
    </row>
    <row r="18" spans="1:21" ht="19.5" customHeight="1">
      <c r="A18" s="40"/>
      <c r="B18" s="40" t="s">
        <v>26</v>
      </c>
      <c r="C18" s="40"/>
      <c r="D18" s="6">
        <f>SUM(D10:D17)</f>
        <v>294.2562839477008</v>
      </c>
      <c r="E18" s="6">
        <f>SUM(E10:E17)</f>
        <v>33.99349389470835</v>
      </c>
      <c r="F18" s="9">
        <f>E18/D18</f>
        <v>0.11552342549377852</v>
      </c>
      <c r="G18" s="6">
        <f>SUM(G10:G17)</f>
        <v>164.98715216694526</v>
      </c>
      <c r="H18" s="9">
        <f>G18/D18</f>
        <v>0.5606920265338123</v>
      </c>
      <c r="I18" s="6">
        <f>SUM(I10:I17)</f>
        <v>3.1331258582784103</v>
      </c>
      <c r="J18" s="9">
        <f>I18/D18</f>
        <v>0.010647609003433455</v>
      </c>
      <c r="K18" s="6">
        <f>SUM(K10:K17)</f>
        <v>54.32050614209197</v>
      </c>
      <c r="L18" s="9">
        <f>K18/D18</f>
        <v>0.18460270555087463</v>
      </c>
      <c r="M18" s="6">
        <f>SUM(M10:M17)</f>
        <v>7.151980689329332</v>
      </c>
      <c r="N18" s="9">
        <f>M18/D18</f>
        <v>0.024305277676246597</v>
      </c>
      <c r="O18" s="6">
        <f>SUM(O10:O17)</f>
        <v>15.147718365970864</v>
      </c>
      <c r="P18" s="9">
        <f>O18/D18</f>
        <v>0.05147797750570085</v>
      </c>
      <c r="Q18" s="6">
        <f>SUM(Q10:Q17)</f>
        <v>4.770031648274421</v>
      </c>
      <c r="R18" s="9">
        <f>Q18/D18</f>
        <v>0.01621046655072357</v>
      </c>
      <c r="S18" s="6">
        <f>SUM(S10:S17)</f>
        <v>9.895746880282626</v>
      </c>
      <c r="T18" s="9">
        <f>S18/D18</f>
        <v>0.03362968752110467</v>
      </c>
      <c r="U18" s="10"/>
    </row>
    <row r="19" spans="1:20" ht="19.5" customHeight="1">
      <c r="A19" s="40" t="s">
        <v>75</v>
      </c>
      <c r="B19" s="40"/>
      <c r="C19" s="4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/>
  <mergeCells count="28">
    <mergeCell ref="A2:T2"/>
    <mergeCell ref="A3:C4"/>
    <mergeCell ref="D3:D4"/>
    <mergeCell ref="E3:F4"/>
    <mergeCell ref="G3:H4"/>
    <mergeCell ref="I3:J4"/>
    <mergeCell ref="K3:L4"/>
    <mergeCell ref="M3:N4"/>
    <mergeCell ref="O3:P4"/>
    <mergeCell ref="Q3:R4"/>
    <mergeCell ref="B18:C18"/>
    <mergeCell ref="A19:C19"/>
    <mergeCell ref="B11:B12"/>
    <mergeCell ref="B13:C13"/>
    <mergeCell ref="B14:C14"/>
    <mergeCell ref="B15:C15"/>
    <mergeCell ref="B16:C16"/>
    <mergeCell ref="B17:C17"/>
    <mergeCell ref="A1:T1"/>
    <mergeCell ref="S3:T4"/>
    <mergeCell ref="A6:A9"/>
    <mergeCell ref="A10:A18"/>
    <mergeCell ref="A5:C5"/>
    <mergeCell ref="B6:C6"/>
    <mergeCell ref="B7:C7"/>
    <mergeCell ref="B8:C8"/>
    <mergeCell ref="B9:C9"/>
    <mergeCell ref="B10:C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ignoredErrors>
    <ignoredError sqref="R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1" sqref="E21"/>
    </sheetView>
  </sheetViews>
  <sheetFormatPr defaultColWidth="9.00390625" defaultRowHeight="12.75" customHeight="1"/>
  <cols>
    <col min="1" max="1" width="7.375" style="17" customWidth="1"/>
    <col min="2" max="2" width="9.125" style="17" customWidth="1"/>
    <col min="3" max="3" width="6.25390625" style="17" customWidth="1"/>
    <col min="4" max="4" width="17.375" style="17" customWidth="1"/>
    <col min="5" max="5" width="26.375" style="17" customWidth="1"/>
    <col min="6" max="6" width="35.125" style="17" customWidth="1"/>
    <col min="7" max="16384" width="9.00390625" style="17" customWidth="1"/>
  </cols>
  <sheetData>
    <row r="1" spans="1:6" ht="27.75" customHeight="1">
      <c r="A1" s="46" t="s">
        <v>147</v>
      </c>
      <c r="B1" s="46"/>
      <c r="C1" s="46"/>
      <c r="D1" s="46"/>
      <c r="E1" s="46"/>
      <c r="F1" s="46"/>
    </row>
    <row r="2" spans="1:6" ht="20.25" customHeight="1">
      <c r="A2" s="41" t="s">
        <v>146</v>
      </c>
      <c r="B2" s="41"/>
      <c r="C2" s="41"/>
      <c r="D2" s="41"/>
      <c r="E2" s="41"/>
      <c r="F2" s="41"/>
    </row>
    <row r="3" spans="1:6" ht="15" customHeight="1">
      <c r="A3" s="40" t="s">
        <v>86</v>
      </c>
      <c r="B3" s="40"/>
      <c r="C3" s="8" t="s">
        <v>87</v>
      </c>
      <c r="D3" s="8" t="s">
        <v>88</v>
      </c>
      <c r="E3" s="8" t="s">
        <v>89</v>
      </c>
      <c r="F3" s="8" t="s">
        <v>90</v>
      </c>
    </row>
    <row r="4" spans="1:6" ht="15" customHeight="1">
      <c r="A4" s="40" t="s">
        <v>91</v>
      </c>
      <c r="B4" s="8" t="s">
        <v>92</v>
      </c>
      <c r="C4" s="7" t="s">
        <v>106</v>
      </c>
      <c r="D4" s="4"/>
      <c r="E4" s="3"/>
      <c r="F4" s="18"/>
    </row>
    <row r="5" spans="1:6" ht="15" customHeight="1">
      <c r="A5" s="40"/>
      <c r="B5" s="8" t="s">
        <v>93</v>
      </c>
      <c r="C5" s="7" t="s">
        <v>27</v>
      </c>
      <c r="D5" s="4">
        <f>30811.79*0.51/3</f>
        <v>5238.0043000000005</v>
      </c>
      <c r="E5" s="3">
        <f>D5*100/42119.03</f>
        <v>12.436194043405084</v>
      </c>
      <c r="F5" s="7"/>
    </row>
    <row r="6" spans="1:6" ht="15" customHeight="1">
      <c r="A6" s="40"/>
      <c r="B6" s="8" t="s">
        <v>94</v>
      </c>
      <c r="C6" s="7" t="s">
        <v>8</v>
      </c>
      <c r="D6" s="4">
        <f>4215.71*0.51/3</f>
        <v>716.6707</v>
      </c>
      <c r="E6" s="3">
        <f aca="true" t="shared" si="0" ref="E6:E17">D6*100/42119.03</f>
        <v>1.7015365738479735</v>
      </c>
      <c r="F6" s="7"/>
    </row>
    <row r="7" spans="1:6" ht="15" customHeight="1">
      <c r="A7" s="40"/>
      <c r="B7" s="8" t="s">
        <v>95</v>
      </c>
      <c r="C7" s="7" t="s">
        <v>28</v>
      </c>
      <c r="D7" s="5">
        <f>30539.85*0.51/3</f>
        <v>5191.7745</v>
      </c>
      <c r="E7" s="3">
        <f t="shared" si="0"/>
        <v>12.326434155772345</v>
      </c>
      <c r="F7" s="7"/>
    </row>
    <row r="8" spans="1:6" ht="15" customHeight="1">
      <c r="A8" s="40" t="s">
        <v>96</v>
      </c>
      <c r="B8" s="8" t="s">
        <v>97</v>
      </c>
      <c r="C8" s="7" t="s">
        <v>107</v>
      </c>
      <c r="D8" s="4"/>
      <c r="E8" s="3"/>
      <c r="F8" s="18"/>
    </row>
    <row r="9" spans="1:6" ht="15" customHeight="1">
      <c r="A9" s="40"/>
      <c r="B9" s="8" t="s">
        <v>93</v>
      </c>
      <c r="C9" s="7" t="s">
        <v>107</v>
      </c>
      <c r="D9" s="4">
        <f>30811.79/3+11426.74-D5</f>
        <v>16459.332366666666</v>
      </c>
      <c r="E9" s="3">
        <f t="shared" si="0"/>
        <v>39.07813728537116</v>
      </c>
      <c r="F9" s="7"/>
    </row>
    <row r="10" spans="1:6" ht="15" customHeight="1">
      <c r="A10" s="40"/>
      <c r="B10" s="8" t="s">
        <v>94</v>
      </c>
      <c r="C10" s="7" t="s">
        <v>108</v>
      </c>
      <c r="D10" s="2">
        <f>4215.71/3+1661.23-D6</f>
        <v>2349.7959666666666</v>
      </c>
      <c r="E10" s="3">
        <f t="shared" si="0"/>
        <v>5.578941316233224</v>
      </c>
      <c r="F10" s="7"/>
    </row>
    <row r="11" spans="1:6" ht="15" customHeight="1">
      <c r="A11" s="40"/>
      <c r="B11" s="8" t="s">
        <v>95</v>
      </c>
      <c r="C11" s="7" t="s">
        <v>109</v>
      </c>
      <c r="D11" s="4">
        <f>30539.85*0.49/3+26900.57</f>
        <v>31888.745499999997</v>
      </c>
      <c r="E11" s="3">
        <f t="shared" si="0"/>
        <v>75.71101589946397</v>
      </c>
      <c r="F11" s="7"/>
    </row>
    <row r="12" spans="1:6" ht="15" customHeight="1">
      <c r="A12" s="40"/>
      <c r="B12" s="8" t="s">
        <v>98</v>
      </c>
      <c r="C12" s="7" t="s">
        <v>27</v>
      </c>
      <c r="D12" s="4">
        <f>3352.61+1442.15/3</f>
        <v>3833.326666666667</v>
      </c>
      <c r="E12" s="3">
        <f t="shared" si="0"/>
        <v>9.101175090372848</v>
      </c>
      <c r="F12" s="7"/>
    </row>
    <row r="13" spans="1:6" ht="15" customHeight="1">
      <c r="A13" s="40"/>
      <c r="B13" s="8" t="s">
        <v>99</v>
      </c>
      <c r="C13" s="7" t="s">
        <v>28</v>
      </c>
      <c r="D13" s="4"/>
      <c r="E13" s="3"/>
      <c r="F13" s="7"/>
    </row>
    <row r="14" spans="1:6" ht="15" customHeight="1">
      <c r="A14" s="40"/>
      <c r="B14" s="8" t="s">
        <v>100</v>
      </c>
      <c r="C14" s="7" t="s">
        <v>28</v>
      </c>
      <c r="D14" s="4">
        <v>1048.54</v>
      </c>
      <c r="E14" s="3">
        <f t="shared" si="0"/>
        <v>2.4894685371434244</v>
      </c>
      <c r="F14" s="7"/>
    </row>
    <row r="15" spans="1:6" ht="15" customHeight="1">
      <c r="A15" s="40"/>
      <c r="B15" s="8" t="s">
        <v>101</v>
      </c>
      <c r="C15" s="7" t="s">
        <v>28</v>
      </c>
      <c r="D15" s="4">
        <f>46528.06/3+24732.04</f>
        <v>40241.39333333333</v>
      </c>
      <c r="E15" s="3">
        <f t="shared" si="0"/>
        <v>95.54207049244329</v>
      </c>
      <c r="F15" s="7"/>
    </row>
    <row r="16" spans="1:6" ht="15" customHeight="1">
      <c r="A16" s="40"/>
      <c r="B16" s="8" t="s">
        <v>102</v>
      </c>
      <c r="C16" s="7" t="s">
        <v>28</v>
      </c>
      <c r="D16" s="4">
        <f>38898.41/3+66472.92</f>
        <v>79439.05666666667</v>
      </c>
      <c r="E16" s="3">
        <f t="shared" si="0"/>
        <v>188.60609246382614</v>
      </c>
      <c r="F16" s="7"/>
    </row>
    <row r="17" spans="1:6" ht="15" customHeight="1">
      <c r="A17" s="40"/>
      <c r="B17" s="8" t="s">
        <v>103</v>
      </c>
      <c r="C17" s="7" t="s">
        <v>28</v>
      </c>
      <c r="D17" s="4">
        <v>22511.44</v>
      </c>
      <c r="E17" s="3">
        <f t="shared" si="0"/>
        <v>53.4471947715795</v>
      </c>
      <c r="F17" s="7"/>
    </row>
    <row r="18" spans="1:6" ht="15" customHeight="1">
      <c r="A18" s="40"/>
      <c r="B18" s="8" t="s">
        <v>104</v>
      </c>
      <c r="C18" s="7"/>
      <c r="D18" s="4"/>
      <c r="E18" s="19"/>
      <c r="F18" s="7"/>
    </row>
    <row r="19" spans="1:6" ht="15" customHeight="1">
      <c r="A19" s="23" t="s">
        <v>105</v>
      </c>
      <c r="B19" s="8" t="s">
        <v>10</v>
      </c>
      <c r="C19" s="7" t="s">
        <v>11</v>
      </c>
      <c r="D19" s="3">
        <v>253084</v>
      </c>
      <c r="E19" s="3">
        <f>D19/421.192</f>
        <v>600.8756101730327</v>
      </c>
      <c r="F19" s="7"/>
    </row>
    <row r="20" spans="1:6" ht="15" customHeight="1">
      <c r="A20" s="24"/>
      <c r="B20" s="8" t="s">
        <v>12</v>
      </c>
      <c r="C20" s="7" t="s">
        <v>11</v>
      </c>
      <c r="D20" s="3">
        <v>24236.36</v>
      </c>
      <c r="E20" s="3">
        <f>D20/421.192</f>
        <v>57.54230849588786</v>
      </c>
      <c r="F20" s="7"/>
    </row>
    <row r="21" spans="1:6" ht="15" customHeight="1">
      <c r="A21" s="24"/>
      <c r="B21" s="8" t="s">
        <v>13</v>
      </c>
      <c r="C21" s="7" t="s">
        <v>11</v>
      </c>
      <c r="D21" s="4">
        <v>79724</v>
      </c>
      <c r="E21" s="3">
        <f>D21/421.192</f>
        <v>189.28184770840852</v>
      </c>
      <c r="F21" s="7"/>
    </row>
    <row r="22" spans="1:6" ht="22.5" customHeight="1">
      <c r="A22" s="24"/>
      <c r="B22" s="8" t="s">
        <v>14</v>
      </c>
      <c r="C22" s="7" t="s">
        <v>11</v>
      </c>
      <c r="D22" s="4">
        <v>17883.109</v>
      </c>
      <c r="E22" s="3">
        <f>D22/421.192</f>
        <v>42.458330167714486</v>
      </c>
      <c r="F22" s="7"/>
    </row>
    <row r="23" spans="1:6" ht="15" customHeight="1">
      <c r="A23" s="24"/>
      <c r="B23" s="8" t="s">
        <v>15</v>
      </c>
      <c r="C23" s="7" t="s">
        <v>11</v>
      </c>
      <c r="D23" s="7">
        <v>1779</v>
      </c>
      <c r="E23" s="3">
        <f>D23/421.192</f>
        <v>4.223726946380748</v>
      </c>
      <c r="F23" s="7"/>
    </row>
    <row r="24" spans="1:6" ht="15" customHeight="1">
      <c r="A24" s="24"/>
      <c r="B24" s="8" t="s">
        <v>16</v>
      </c>
      <c r="C24" s="7" t="s">
        <v>11</v>
      </c>
      <c r="D24" s="7"/>
      <c r="E24" s="7"/>
      <c r="F24" s="7"/>
    </row>
    <row r="25" spans="1:6" ht="15" customHeight="1">
      <c r="A25" s="45"/>
      <c r="B25" s="8" t="s">
        <v>9</v>
      </c>
      <c r="C25" s="8"/>
      <c r="D25" s="7"/>
      <c r="E25" s="7"/>
      <c r="F25" s="7"/>
    </row>
  </sheetData>
  <sheetProtection/>
  <mergeCells count="6">
    <mergeCell ref="A19:A25"/>
    <mergeCell ref="A8:A18"/>
    <mergeCell ref="A1:F1"/>
    <mergeCell ref="A2:F2"/>
    <mergeCell ref="A3:B3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125" style="11" customWidth="1"/>
    <col min="2" max="2" width="11.50390625" style="11" customWidth="1"/>
    <col min="3" max="3" width="8.375" style="11" customWidth="1"/>
    <col min="4" max="4" width="26.375" style="11" customWidth="1"/>
    <col min="5" max="5" width="36.75390625" style="11" customWidth="1"/>
    <col min="6" max="16384" width="9.00390625" style="11" customWidth="1"/>
  </cols>
  <sheetData>
    <row r="1" spans="1:5" ht="40.5" customHeight="1">
      <c r="A1" s="46" t="s">
        <v>149</v>
      </c>
      <c r="B1" s="46"/>
      <c r="C1" s="46"/>
      <c r="D1" s="46"/>
      <c r="E1" s="46"/>
    </row>
    <row r="2" spans="1:5" ht="24.75" customHeight="1">
      <c r="A2" s="41" t="s">
        <v>148</v>
      </c>
      <c r="B2" s="41"/>
      <c r="C2" s="41"/>
      <c r="D2" s="41"/>
      <c r="E2" s="41"/>
    </row>
    <row r="3" spans="1:5" ht="21.75" customHeight="1">
      <c r="A3" s="8" t="s">
        <v>17</v>
      </c>
      <c r="B3" s="8" t="s">
        <v>18</v>
      </c>
      <c r="C3" s="8" t="s">
        <v>7</v>
      </c>
      <c r="D3" s="8" t="s">
        <v>19</v>
      </c>
      <c r="E3" s="8" t="s">
        <v>20</v>
      </c>
    </row>
    <row r="4" spans="1:5" ht="21.75" customHeight="1">
      <c r="A4" s="8">
        <v>1</v>
      </c>
      <c r="B4" s="8" t="s">
        <v>1</v>
      </c>
      <c r="C4" s="7" t="s">
        <v>21</v>
      </c>
      <c r="D4" s="3">
        <f>8332214.34+8553159.89/3+27539.639</f>
        <v>11210807.275666667</v>
      </c>
      <c r="E4" s="3">
        <f aca="true" t="shared" si="0" ref="E4:E9">D4*100/42119.03</f>
        <v>26616.96453044305</v>
      </c>
    </row>
    <row r="5" spans="1:5" ht="21.75" customHeight="1">
      <c r="A5" s="8">
        <v>2</v>
      </c>
      <c r="B5" s="8" t="s">
        <v>22</v>
      </c>
      <c r="C5" s="7" t="s">
        <v>8</v>
      </c>
      <c r="D5" s="2">
        <f>(1137932.21+2502846.12/3)*0.001</f>
        <v>1972.21425</v>
      </c>
      <c r="E5" s="3">
        <f t="shared" si="0"/>
        <v>4.682477849086268</v>
      </c>
    </row>
    <row r="6" spans="1:5" ht="21.75" customHeight="1">
      <c r="A6" s="8">
        <v>3</v>
      </c>
      <c r="B6" s="8" t="s">
        <v>110</v>
      </c>
      <c r="C6" s="7" t="s">
        <v>111</v>
      </c>
      <c r="D6" s="2">
        <f>4131.27+3266.447/3</f>
        <v>5220.085666666667</v>
      </c>
      <c r="E6" s="3">
        <f t="shared" si="0"/>
        <v>12.393651199153132</v>
      </c>
    </row>
    <row r="7" spans="1:5" ht="21.75" customHeight="1">
      <c r="A7" s="8">
        <v>4</v>
      </c>
      <c r="B7" s="8" t="s">
        <v>112</v>
      </c>
      <c r="C7" s="7" t="s">
        <v>111</v>
      </c>
      <c r="D7" s="3">
        <f>79.326+4.561/3</f>
        <v>80.84633333333332</v>
      </c>
      <c r="E7" s="3">
        <f t="shared" si="0"/>
        <v>0.1919472821034419</v>
      </c>
    </row>
    <row r="8" spans="1:5" ht="21.75" customHeight="1">
      <c r="A8" s="8">
        <v>5</v>
      </c>
      <c r="B8" s="8" t="s">
        <v>113</v>
      </c>
      <c r="C8" s="7" t="s">
        <v>8</v>
      </c>
      <c r="D8" s="2">
        <f>4215.71/3+1661.23</f>
        <v>3066.4666666666667</v>
      </c>
      <c r="E8" s="3">
        <f t="shared" si="0"/>
        <v>7.280477890081198</v>
      </c>
    </row>
    <row r="9" spans="1:5" ht="21.75" customHeight="1">
      <c r="A9" s="8">
        <v>6</v>
      </c>
      <c r="B9" s="8" t="s">
        <v>114</v>
      </c>
      <c r="C9" s="7" t="s">
        <v>115</v>
      </c>
      <c r="D9" s="3">
        <f>30811.79/3+11426.74</f>
        <v>21697.336666666666</v>
      </c>
      <c r="E9" s="3">
        <f t="shared" si="0"/>
        <v>51.514331328776244</v>
      </c>
    </row>
    <row r="10" spans="1:5" ht="21.75" customHeight="1">
      <c r="A10" s="8">
        <v>8</v>
      </c>
      <c r="B10" s="8" t="s">
        <v>116</v>
      </c>
      <c r="C10" s="7" t="s">
        <v>111</v>
      </c>
      <c r="D10" s="3">
        <v>158.68233</v>
      </c>
      <c r="E10" s="3">
        <f>D10/421.192</f>
        <v>0.37674583087997876</v>
      </c>
    </row>
    <row r="11" spans="1:5" ht="21.75" customHeight="1">
      <c r="A11" s="8">
        <v>9</v>
      </c>
      <c r="B11" s="8" t="s">
        <v>117</v>
      </c>
      <c r="C11" s="7" t="s">
        <v>111</v>
      </c>
      <c r="D11" s="3">
        <v>28.55</v>
      </c>
      <c r="E11" s="3">
        <f>D11/421.192</f>
        <v>0.0677838135577124</v>
      </c>
    </row>
    <row r="12" spans="1:5" ht="21.75" customHeight="1">
      <c r="A12" s="8">
        <v>10</v>
      </c>
      <c r="B12" s="8" t="s">
        <v>118</v>
      </c>
      <c r="C12" s="7" t="s">
        <v>119</v>
      </c>
      <c r="D12" s="3">
        <v>253084</v>
      </c>
      <c r="E12" s="3">
        <f>D12/421.192</f>
        <v>600.8756101730327</v>
      </c>
    </row>
    <row r="13" spans="1:5" ht="21.75" customHeight="1">
      <c r="A13" s="8">
        <v>11</v>
      </c>
      <c r="B13" s="8" t="s">
        <v>120</v>
      </c>
      <c r="C13" s="7" t="s">
        <v>119</v>
      </c>
      <c r="D13" s="3">
        <v>24236.36</v>
      </c>
      <c r="E13" s="3">
        <f>D13/421.192</f>
        <v>57.54230849588786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</sheetData>
  <sheetProtection/>
  <mergeCells count="2">
    <mergeCell ref="A1:E1"/>
    <mergeCell ref="A2:E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51868988</cp:lastModifiedBy>
  <cp:lastPrinted>2015-03-12T06:16:11Z</cp:lastPrinted>
  <dcterms:created xsi:type="dcterms:W3CDTF">2008-03-28T07:48:10Z</dcterms:created>
  <dcterms:modified xsi:type="dcterms:W3CDTF">2015-03-12T07:33:27Z</dcterms:modified>
  <cp:category/>
  <cp:version/>
  <cp:contentType/>
  <cp:contentStatus/>
</cp:coreProperties>
</file>