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995" activeTab="3"/>
  </bookViews>
  <sheets>
    <sheet name="道路工程概况" sheetId="1" r:id="rId1"/>
    <sheet name="费用组成分析" sheetId="2" r:id="rId2"/>
    <sheet name="措施项目费" sheetId="3" r:id="rId3"/>
    <sheet name="工料分析表" sheetId="4" r:id="rId4"/>
  </sheets>
  <definedNames/>
  <calcPr fullCalcOnLoad="1"/>
</workbook>
</file>

<file path=xl/sharedStrings.xml><?xml version="1.0" encoding="utf-8"?>
<sst xmlns="http://schemas.openxmlformats.org/spreadsheetml/2006/main" count="139" uniqueCount="115">
  <si>
    <t> 工程名称：</t>
  </si>
  <si>
    <t xml:space="preserve"> 发布时间： </t>
  </si>
  <si>
    <t>平米造价</t>
  </si>
  <si>
    <t>(单位：元)</t>
  </si>
  <si>
    <t>比例(%)</t>
  </si>
  <si>
    <t>一</t>
  </si>
  <si>
    <t>其中</t>
  </si>
  <si>
    <t>二</t>
  </si>
  <si>
    <t>三</t>
  </si>
  <si>
    <t>四</t>
  </si>
  <si>
    <t>五</t>
  </si>
  <si>
    <t>合计</t>
  </si>
  <si>
    <t>市政道路工程费用组成分析表</t>
  </si>
  <si>
    <t>工程名称：</t>
  </si>
  <si>
    <t>(费用/道路面积)</t>
  </si>
  <si>
    <t>工程名称：</t>
  </si>
  <si>
    <t>市政道路工程措施项目费指标</t>
  </si>
  <si>
    <t>说明：措施项目清单按实际发生项目填写</t>
  </si>
  <si>
    <t>(费用/道路面积)</t>
  </si>
  <si>
    <t>人工</t>
  </si>
  <si>
    <t>工日</t>
  </si>
  <si>
    <t>备注：</t>
  </si>
  <si>
    <t>市政道路工程工料分析表</t>
  </si>
  <si>
    <t>序号</t>
  </si>
  <si>
    <t>工程概况</t>
  </si>
  <si>
    <t>工程特征</t>
  </si>
  <si>
    <t>道路等级</t>
  </si>
  <si>
    <t>工程量</t>
  </si>
  <si>
    <t>开工时间</t>
  </si>
  <si>
    <t>土石方工程</t>
  </si>
  <si>
    <t>道路路床</t>
  </si>
  <si>
    <t>道路基层</t>
  </si>
  <si>
    <t>道路面层</t>
  </si>
  <si>
    <t>侧缘石</t>
  </si>
  <si>
    <t>附属工程</t>
  </si>
  <si>
    <t>挡土墙</t>
  </si>
  <si>
    <t>工程类别</t>
  </si>
  <si>
    <t>竣工时间</t>
  </si>
  <si>
    <t>路面结构</t>
  </si>
  <si>
    <t>投资性质</t>
  </si>
  <si>
    <t>工程所在地</t>
  </si>
  <si>
    <t>项目名称</t>
  </si>
  <si>
    <t>计量单位</t>
  </si>
  <si>
    <t>工程量</t>
  </si>
  <si>
    <t>造价</t>
  </si>
  <si>
    <t>占总造价</t>
  </si>
  <si>
    <t>平米造价</t>
  </si>
  <si>
    <t>人工费</t>
  </si>
  <si>
    <t>材料费</t>
  </si>
  <si>
    <t>机械费</t>
  </si>
  <si>
    <t>管理费</t>
  </si>
  <si>
    <t>利润</t>
  </si>
  <si>
    <t>道路路床</t>
  </si>
  <si>
    <t>道路基层</t>
  </si>
  <si>
    <t>道路面层</t>
  </si>
  <si>
    <t>侧缘石</t>
  </si>
  <si>
    <t>挡土墙</t>
  </si>
  <si>
    <t>分部分项工程费</t>
  </si>
  <si>
    <t>措施项目费</t>
  </si>
  <si>
    <t>其他项目费</t>
  </si>
  <si>
    <t>规费</t>
  </si>
  <si>
    <t>税金</t>
  </si>
  <si>
    <t>序号</t>
  </si>
  <si>
    <t>分项名称</t>
  </si>
  <si>
    <t>造价</t>
  </si>
  <si>
    <t>(单位：元)</t>
  </si>
  <si>
    <t>占分部分项</t>
  </si>
  <si>
    <t>工程费比例(%)</t>
  </si>
  <si>
    <t>单位</t>
  </si>
  <si>
    <t>费用</t>
  </si>
  <si>
    <t>数量</t>
  </si>
  <si>
    <t>平米费用</t>
  </si>
  <si>
    <t>(费用/道路面积)</t>
  </si>
  <si>
    <t>平米含量</t>
  </si>
  <si>
    <t>(数量/道路面积)</t>
  </si>
  <si>
    <t xml:space="preserve">发布时间： </t>
  </si>
  <si>
    <t>沥青路面</t>
  </si>
  <si>
    <t>国有资金</t>
  </si>
  <si>
    <t>无</t>
  </si>
  <si>
    <t>m3</t>
  </si>
  <si>
    <t>m2</t>
  </si>
  <si>
    <t>m</t>
  </si>
  <si>
    <t>工日</t>
  </si>
  <si>
    <t>元</t>
  </si>
  <si>
    <t>元</t>
  </si>
  <si>
    <t>元</t>
  </si>
  <si>
    <t>现场安全文明施工措施费基本费</t>
  </si>
  <si>
    <t>现场安全文明施工措施费考评费</t>
  </si>
  <si>
    <t>大型机械设备进出场及安拆费</t>
  </si>
  <si>
    <t>施工排水费</t>
  </si>
  <si>
    <t>临时设施费</t>
  </si>
  <si>
    <t>企业检验试验费</t>
  </si>
  <si>
    <t>水泥</t>
  </si>
  <si>
    <t>t</t>
  </si>
  <si>
    <t>黄砂</t>
  </si>
  <si>
    <t>碎石</t>
  </si>
  <si>
    <t>石灰</t>
  </si>
  <si>
    <t>沥青混凝土</t>
  </si>
  <si>
    <t>石油沥青</t>
  </si>
  <si>
    <t xml:space="preserve">市政道路工程概况与特征表
（江苏天衡工程咨询管理有限公司） </t>
  </si>
  <si>
    <t>厂区道路</t>
  </si>
  <si>
    <t>某道路工程</t>
  </si>
  <si>
    <t>某道路工程</t>
  </si>
  <si>
    <r>
      <t>沥青表面处治、7cmAC-25</t>
    </r>
    <r>
      <rPr>
        <sz val="9"/>
        <color indexed="8"/>
        <rFont val="宋体"/>
        <family val="0"/>
      </rPr>
      <t>粗粒式沥青砼、</t>
    </r>
    <r>
      <rPr>
        <sz val="9"/>
        <color indexed="8"/>
        <rFont val="宋体"/>
        <family val="0"/>
      </rPr>
      <t>5</t>
    </r>
    <r>
      <rPr>
        <sz val="9"/>
        <color indexed="8"/>
        <rFont val="宋体"/>
        <family val="0"/>
      </rPr>
      <t>cmAC-</t>
    </r>
    <r>
      <rPr>
        <sz val="9"/>
        <color indexed="8"/>
        <rFont val="宋体"/>
        <family val="0"/>
      </rPr>
      <t>13</t>
    </r>
    <r>
      <rPr>
        <sz val="9"/>
        <color indexed="8"/>
        <rFont val="宋体"/>
        <family val="0"/>
      </rPr>
      <t>C细粒式沥青砼</t>
    </r>
  </si>
  <si>
    <t>花岗岩防撞道牙</t>
  </si>
  <si>
    <t>无</t>
  </si>
  <si>
    <t xml:space="preserve"> 镇江</t>
  </si>
  <si>
    <t>6%灰土</t>
  </si>
  <si>
    <t>清表，弃土，原地面压实，河塘清淤回填（6%灰土），挖土方，车行道路基处理范围采用6%灰土，缺方外购</t>
  </si>
  <si>
    <t>稳定混合料</t>
  </si>
  <si>
    <t>m3</t>
  </si>
  <si>
    <t>花岗岩侧石</t>
  </si>
  <si>
    <t>m</t>
  </si>
  <si>
    <t xml:space="preserve">30cm6%灰土底基层、20cm7:28:65 二灰砾石      </t>
  </si>
  <si>
    <t>车行道面积8944.5m2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</si>
</sst>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00_ "/>
    <numFmt numFmtId="182" formatCode="0.000_ "/>
    <numFmt numFmtId="183" formatCode="0.000000_ "/>
  </numFmts>
  <fonts count="22">
    <font>
      <sz val="12"/>
      <name val="宋体"/>
      <family val="0"/>
    </font>
    <font>
      <b/>
      <sz val="13.5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thin">
        <color indexed="30"/>
      </right>
      <top style="medium">
        <color indexed="30"/>
      </top>
      <bottom>
        <color indexed="63"/>
      </bottom>
    </border>
    <border>
      <left style="thin">
        <color indexed="30"/>
      </left>
      <right style="medium">
        <color indexed="30"/>
      </right>
      <top style="medium">
        <color indexed="30"/>
      </top>
      <bottom>
        <color indexed="63"/>
      </bottom>
    </border>
    <border>
      <left style="thin">
        <color indexed="30"/>
      </left>
      <right style="medium">
        <color indexed="30"/>
      </right>
      <top>
        <color indexed="63"/>
      </top>
      <bottom style="thin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21"/>
      </top>
      <bottom>
        <color indexed="63"/>
      </bottom>
    </border>
    <border>
      <left style="thin">
        <color indexed="30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30"/>
      </left>
      <right style="thin">
        <color indexed="21"/>
      </right>
      <top>
        <color indexed="63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30"/>
      </top>
      <bottom style="thin">
        <color indexed="30"/>
      </bottom>
    </border>
    <border>
      <left style="thin">
        <color indexed="21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21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thin">
        <color indexed="21"/>
      </right>
      <top style="thin">
        <color indexed="30"/>
      </top>
      <bottom style="thin">
        <color indexed="30"/>
      </bottom>
    </border>
    <border>
      <left style="thin">
        <color indexed="30"/>
      </left>
      <right style="thin">
        <color indexed="21"/>
      </right>
      <top style="thin">
        <color indexed="30"/>
      </top>
      <bottom style="thin">
        <color indexed="21"/>
      </bottom>
    </border>
    <border>
      <left style="thin">
        <color indexed="30"/>
      </left>
      <right style="thin">
        <color indexed="30"/>
      </right>
      <top>
        <color indexed="63"/>
      </top>
      <bottom style="thin"/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30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30"/>
      </right>
      <top style="medium">
        <color indexed="30"/>
      </top>
      <bottom>
        <color indexed="63"/>
      </bottom>
    </border>
    <border>
      <left>
        <color indexed="63"/>
      </left>
      <right style="thin">
        <color indexed="30"/>
      </right>
      <top>
        <color indexed="63"/>
      </top>
      <bottom style="thin">
        <color indexed="3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104">
    <xf numFmtId="0" fontId="0" fillId="0" borderId="0" xfId="0" applyAlignment="1">
      <alignment vertical="center"/>
    </xf>
    <xf numFmtId="0" fontId="3" fillId="6" borderId="0" xfId="0" applyFont="1" applyFill="1" applyAlignment="1">
      <alignment horizontal="left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left" vertical="center" wrapText="1"/>
    </xf>
    <xf numFmtId="0" fontId="4" fillId="8" borderId="12" xfId="0" applyFont="1" applyFill="1" applyBorder="1" applyAlignment="1">
      <alignment horizontal="center" vertical="center" wrapText="1"/>
    </xf>
    <xf numFmtId="14" fontId="4" fillId="24" borderId="11" xfId="0" applyNumberFormat="1" applyFont="1" applyFill="1" applyBorder="1" applyAlignment="1">
      <alignment horizontal="left" vertical="center" wrapText="1"/>
    </xf>
    <xf numFmtId="0" fontId="4" fillId="16" borderId="11" xfId="0" applyFont="1" applyFill="1" applyBorder="1" applyAlignment="1">
      <alignment horizontal="center" vertical="center" wrapText="1"/>
    </xf>
    <xf numFmtId="0" fontId="2" fillId="16" borderId="11" xfId="0" applyFont="1" applyFill="1" applyBorder="1" applyAlignment="1">
      <alignment horizontal="center" vertical="center"/>
    </xf>
    <xf numFmtId="0" fontId="4" fillId="25" borderId="13" xfId="0" applyFont="1" applyFill="1" applyBorder="1" applyAlignment="1">
      <alignment horizontal="center" vertical="center" wrapText="1"/>
    </xf>
    <xf numFmtId="0" fontId="4" fillId="25" borderId="11" xfId="0" applyFont="1" applyFill="1" applyBorder="1" applyAlignment="1">
      <alignment horizontal="left" vertical="center" wrapText="1"/>
    </xf>
    <xf numFmtId="0" fontId="4" fillId="24" borderId="11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vertical="center" wrapText="1"/>
    </xf>
    <xf numFmtId="0" fontId="4" fillId="8" borderId="16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right" vertical="center" wrapText="1"/>
    </xf>
    <xf numFmtId="0" fontId="4" fillId="24" borderId="17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right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2" fillId="25" borderId="11" xfId="0" applyFont="1" applyFill="1" applyBorder="1" applyAlignment="1">
      <alignment horizontal="center" vertical="center"/>
    </xf>
    <xf numFmtId="0" fontId="4" fillId="25" borderId="11" xfId="0" applyFont="1" applyFill="1" applyBorder="1" applyAlignment="1">
      <alignment horizontal="right" vertical="center" wrapText="1"/>
    </xf>
    <xf numFmtId="0" fontId="4" fillId="25" borderId="11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vertical="center" wrapText="1"/>
    </xf>
    <xf numFmtId="0" fontId="4" fillId="8" borderId="18" xfId="0" applyFont="1" applyFill="1" applyBorder="1" applyAlignment="1">
      <alignment horizontal="center" vertical="center" wrapText="1"/>
    </xf>
    <xf numFmtId="0" fontId="4" fillId="8" borderId="19" xfId="0" applyFont="1" applyFill="1" applyBorder="1" applyAlignment="1">
      <alignment horizontal="center" vertical="center" wrapText="1"/>
    </xf>
    <xf numFmtId="0" fontId="4" fillId="8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 wrapText="1"/>
    </xf>
    <xf numFmtId="0" fontId="2" fillId="25" borderId="21" xfId="0" applyFont="1" applyFill="1" applyBorder="1" applyAlignment="1">
      <alignment horizontal="center" vertical="center"/>
    </xf>
    <xf numFmtId="0" fontId="4" fillId="8" borderId="23" xfId="0" applyFont="1" applyFill="1" applyBorder="1" applyAlignment="1">
      <alignment horizontal="center" vertical="center" wrapText="1"/>
    </xf>
    <xf numFmtId="0" fontId="4" fillId="8" borderId="24" xfId="0" applyFont="1" applyFill="1" applyBorder="1" applyAlignment="1">
      <alignment horizontal="center" vertical="center" wrapText="1"/>
    </xf>
    <xf numFmtId="0" fontId="4" fillId="8" borderId="25" xfId="0" applyFont="1" applyFill="1" applyBorder="1" applyAlignment="1">
      <alignment horizontal="center" vertical="center" wrapText="1"/>
    </xf>
    <xf numFmtId="0" fontId="4" fillId="6" borderId="26" xfId="0" applyFont="1" applyFill="1" applyBorder="1" applyAlignment="1">
      <alignment horizontal="center" vertical="center" wrapText="1"/>
    </xf>
    <xf numFmtId="0" fontId="4" fillId="6" borderId="26" xfId="0" applyFont="1" applyFill="1" applyBorder="1" applyAlignment="1">
      <alignment horizontal="right" vertical="center" wrapText="1"/>
    </xf>
    <xf numFmtId="0" fontId="4" fillId="24" borderId="27" xfId="0" applyFont="1" applyFill="1" applyBorder="1" applyAlignment="1">
      <alignment horizontal="center" vertical="center" wrapText="1"/>
    </xf>
    <xf numFmtId="0" fontId="4" fillId="24" borderId="28" xfId="0" applyFont="1" applyFill="1" applyBorder="1" applyAlignment="1">
      <alignment horizontal="center" vertical="center" wrapText="1"/>
    </xf>
    <xf numFmtId="0" fontId="4" fillId="25" borderId="28" xfId="0" applyFont="1" applyFill="1" applyBorder="1" applyAlignment="1">
      <alignment horizontal="center" vertical="center" wrapText="1"/>
    </xf>
    <xf numFmtId="0" fontId="4" fillId="25" borderId="2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25" borderId="27" xfId="0" applyFont="1" applyFill="1" applyBorder="1" applyAlignment="1">
      <alignment horizontal="center" vertical="center" wrapText="1"/>
    </xf>
    <xf numFmtId="14" fontId="0" fillId="6" borderId="0" xfId="0" applyNumberFormat="1" applyFill="1" applyAlignment="1">
      <alignment vertical="center"/>
    </xf>
    <xf numFmtId="180" fontId="4" fillId="24" borderId="11" xfId="0" applyNumberFormat="1" applyFont="1" applyFill="1" applyBorder="1" applyAlignment="1">
      <alignment horizontal="right" vertical="center" wrapText="1"/>
    </xf>
    <xf numFmtId="180" fontId="4" fillId="25" borderId="11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180" fontId="4" fillId="0" borderId="11" xfId="0" applyNumberFormat="1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right" vertical="center" wrapText="1"/>
    </xf>
    <xf numFmtId="0" fontId="4" fillId="25" borderId="11" xfId="0" applyFont="1" applyFill="1" applyBorder="1" applyAlignment="1">
      <alignment horizontal="right" vertical="center" wrapText="1"/>
    </xf>
    <xf numFmtId="180" fontId="4" fillId="25" borderId="11" xfId="0" applyNumberFormat="1" applyFont="1" applyFill="1" applyBorder="1" applyAlignment="1">
      <alignment horizontal="right" vertical="center" wrapText="1"/>
    </xf>
    <xf numFmtId="0" fontId="4" fillId="24" borderId="22" xfId="0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right" vertical="center" wrapText="1"/>
    </xf>
    <xf numFmtId="0" fontId="4" fillId="6" borderId="17" xfId="0" applyFont="1" applyFill="1" applyBorder="1" applyAlignment="1">
      <alignment horizontal="right" vertical="center" wrapText="1"/>
    </xf>
    <xf numFmtId="180" fontId="4" fillId="24" borderId="17" xfId="0" applyNumberFormat="1" applyFont="1" applyFill="1" applyBorder="1" applyAlignment="1">
      <alignment horizontal="right" vertical="center" wrapText="1"/>
    </xf>
    <xf numFmtId="180" fontId="4" fillId="6" borderId="17" xfId="0" applyNumberFormat="1" applyFont="1" applyFill="1" applyBorder="1" applyAlignment="1">
      <alignment horizontal="right" vertical="center" wrapText="1"/>
    </xf>
    <xf numFmtId="180" fontId="4" fillId="24" borderId="30" xfId="0" applyNumberFormat="1" applyFont="1" applyFill="1" applyBorder="1" applyAlignment="1">
      <alignment horizontal="right" vertical="center" wrapText="1"/>
    </xf>
    <xf numFmtId="14" fontId="3" fillId="6" borderId="3" xfId="0" applyNumberFormat="1" applyFont="1" applyFill="1" applyBorder="1" applyAlignment="1">
      <alignment vertical="center" wrapText="1"/>
    </xf>
    <xf numFmtId="14" fontId="3" fillId="6" borderId="0" xfId="0" applyNumberFormat="1" applyFont="1" applyFill="1" applyAlignment="1">
      <alignment horizontal="left" vertical="center" wrapText="1"/>
    </xf>
    <xf numFmtId="180" fontId="4" fillId="24" borderId="31" xfId="0" applyNumberFormat="1" applyFont="1" applyFill="1" applyBorder="1" applyAlignment="1">
      <alignment horizontal="right" vertical="center" wrapText="1"/>
    </xf>
    <xf numFmtId="180" fontId="4" fillId="6" borderId="31" xfId="0" applyNumberFormat="1" applyFont="1" applyFill="1" applyBorder="1" applyAlignment="1">
      <alignment horizontal="right" vertical="center" wrapText="1"/>
    </xf>
    <xf numFmtId="180" fontId="4" fillId="6" borderId="26" xfId="0" applyNumberFormat="1" applyFont="1" applyFill="1" applyBorder="1" applyAlignment="1">
      <alignment horizontal="right" vertical="center" wrapText="1"/>
    </xf>
    <xf numFmtId="180" fontId="4" fillId="6" borderId="32" xfId="0" applyNumberFormat="1" applyFont="1" applyFill="1" applyBorder="1" applyAlignment="1">
      <alignment horizontal="right" vertical="center" wrapText="1"/>
    </xf>
    <xf numFmtId="181" fontId="4" fillId="24" borderId="31" xfId="0" applyNumberFormat="1" applyFont="1" applyFill="1" applyBorder="1" applyAlignment="1">
      <alignment horizontal="right" vertical="center" wrapText="1"/>
    </xf>
    <xf numFmtId="0" fontId="4" fillId="8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8" borderId="36" xfId="0" applyFont="1" applyFill="1" applyBorder="1" applyAlignment="1">
      <alignment horizontal="center" vertical="center" wrapText="1"/>
    </xf>
    <xf numFmtId="180" fontId="4" fillId="0" borderId="11" xfId="0" applyNumberFormat="1" applyFont="1" applyFill="1" applyBorder="1" applyAlignment="1">
      <alignment horizontal="right" vertical="center" wrapText="1"/>
    </xf>
    <xf numFmtId="180" fontId="4" fillId="0" borderId="17" xfId="0" applyNumberFormat="1" applyFont="1" applyFill="1" applyBorder="1" applyAlignment="1">
      <alignment horizontal="right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25" borderId="37" xfId="0" applyFont="1" applyFill="1" applyBorder="1" applyAlignment="1">
      <alignment horizontal="center" vertical="center" wrapText="1"/>
    </xf>
    <xf numFmtId="0" fontId="4" fillId="25" borderId="13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4" fillId="8" borderId="38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4" fillId="25" borderId="14" xfId="0" applyFont="1" applyFill="1" applyBorder="1" applyAlignment="1">
      <alignment horizontal="center" vertical="center" wrapText="1"/>
    </xf>
    <xf numFmtId="0" fontId="4" fillId="25" borderId="14" xfId="0" applyFont="1" applyFill="1" applyBorder="1" applyAlignment="1">
      <alignment horizontal="left" vertical="center" wrapText="1"/>
    </xf>
    <xf numFmtId="0" fontId="4" fillId="25" borderId="37" xfId="0" applyFont="1" applyFill="1" applyBorder="1" applyAlignment="1">
      <alignment horizontal="left" vertical="center" wrapText="1"/>
    </xf>
    <xf numFmtId="0" fontId="4" fillId="25" borderId="13" xfId="0" applyFont="1" applyFill="1" applyBorder="1" applyAlignment="1">
      <alignment horizontal="left" vertical="center" wrapText="1"/>
    </xf>
    <xf numFmtId="0" fontId="4" fillId="8" borderId="14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8" borderId="39" xfId="0" applyFont="1" applyFill="1" applyBorder="1" applyAlignment="1">
      <alignment horizontal="center" vertical="center" wrapText="1"/>
    </xf>
    <xf numFmtId="0" fontId="4" fillId="8" borderId="40" xfId="0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horizontal="center" vertical="center" wrapText="1"/>
    </xf>
    <xf numFmtId="0" fontId="4" fillId="8" borderId="3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8" borderId="41" xfId="0" applyFont="1" applyFill="1" applyBorder="1" applyAlignment="1">
      <alignment horizontal="center" vertical="center"/>
    </xf>
    <xf numFmtId="0" fontId="2" fillId="8" borderId="4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 wrapText="1"/>
    </xf>
    <xf numFmtId="0" fontId="4" fillId="8" borderId="43" xfId="0" applyFont="1" applyFill="1" applyBorder="1" applyAlignment="1">
      <alignment horizontal="center" vertical="center" wrapText="1"/>
    </xf>
    <xf numFmtId="0" fontId="4" fillId="8" borderId="44" xfId="0" applyFont="1" applyFill="1" applyBorder="1" applyAlignment="1">
      <alignment horizontal="center" vertical="center" wrapText="1"/>
    </xf>
    <xf numFmtId="0" fontId="4" fillId="8" borderId="23" xfId="0" applyFont="1" applyFill="1" applyBorder="1" applyAlignment="1">
      <alignment horizontal="center" vertical="center" wrapText="1"/>
    </xf>
    <xf numFmtId="0" fontId="4" fillId="8" borderId="28" xfId="0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G2" sqref="G2"/>
    </sheetView>
  </sheetViews>
  <sheetFormatPr defaultColWidth="9.00390625" defaultRowHeight="14.25"/>
  <cols>
    <col min="1" max="1" width="12.75390625" style="0" customWidth="1"/>
    <col min="2" max="2" width="13.625" style="0" customWidth="1"/>
    <col min="3" max="3" width="10.125" style="0" customWidth="1"/>
    <col min="4" max="4" width="11.125" style="0" customWidth="1"/>
    <col min="6" max="6" width="11.50390625" style="0" customWidth="1"/>
    <col min="7" max="7" width="10.50390625" style="0" bestFit="1" customWidth="1"/>
  </cols>
  <sheetData>
    <row r="1" spans="1:7" ht="48" customHeight="1">
      <c r="A1" s="79" t="s">
        <v>99</v>
      </c>
      <c r="B1" s="79"/>
      <c r="C1" s="79"/>
      <c r="D1" s="79"/>
      <c r="E1" s="79"/>
      <c r="F1" s="79"/>
      <c r="G1" s="79"/>
    </row>
    <row r="2" spans="1:7" ht="20.25" customHeight="1">
      <c r="A2" s="1" t="s">
        <v>0</v>
      </c>
      <c r="B2" s="80" t="s">
        <v>102</v>
      </c>
      <c r="C2" s="80"/>
      <c r="D2" s="80"/>
      <c r="E2" s="80"/>
      <c r="F2" s="1" t="s">
        <v>75</v>
      </c>
      <c r="G2" s="43">
        <v>41685</v>
      </c>
    </row>
    <row r="3" spans="1:7" ht="21" customHeight="1">
      <c r="A3" s="81" t="s">
        <v>24</v>
      </c>
      <c r="B3" s="7" t="s">
        <v>26</v>
      </c>
      <c r="C3" s="4" t="s">
        <v>100</v>
      </c>
      <c r="D3" s="7" t="s">
        <v>36</v>
      </c>
      <c r="E3" s="4" t="s">
        <v>100</v>
      </c>
      <c r="F3" s="7" t="s">
        <v>38</v>
      </c>
      <c r="G3" s="4" t="s">
        <v>76</v>
      </c>
    </row>
    <row r="4" spans="1:7" ht="21" customHeight="1">
      <c r="A4" s="82"/>
      <c r="B4" s="7" t="s">
        <v>27</v>
      </c>
      <c r="C4" s="84" t="s">
        <v>114</v>
      </c>
      <c r="D4" s="77"/>
      <c r="E4" s="78"/>
      <c r="F4" s="7" t="s">
        <v>39</v>
      </c>
      <c r="G4" s="10" t="s">
        <v>77</v>
      </c>
    </row>
    <row r="5" spans="1:7" ht="21" customHeight="1">
      <c r="A5" s="83"/>
      <c r="B5" s="7" t="s">
        <v>28</v>
      </c>
      <c r="C5" s="6">
        <v>41111</v>
      </c>
      <c r="D5" s="7" t="s">
        <v>37</v>
      </c>
      <c r="E5" s="6">
        <v>41414</v>
      </c>
      <c r="F5" s="7" t="s">
        <v>40</v>
      </c>
      <c r="G5" s="4" t="s">
        <v>106</v>
      </c>
    </row>
    <row r="6" spans="1:7" ht="37.5" customHeight="1">
      <c r="A6" s="81" t="s">
        <v>25</v>
      </c>
      <c r="B6" s="8" t="s">
        <v>29</v>
      </c>
      <c r="C6" s="85" t="s">
        <v>108</v>
      </c>
      <c r="D6" s="86"/>
      <c r="E6" s="86"/>
      <c r="F6" s="86"/>
      <c r="G6" s="87"/>
    </row>
    <row r="7" spans="1:7" ht="21" customHeight="1">
      <c r="A7" s="82"/>
      <c r="B7" s="8" t="s">
        <v>30</v>
      </c>
      <c r="C7" s="76" t="s">
        <v>107</v>
      </c>
      <c r="D7" s="74"/>
      <c r="E7" s="74"/>
      <c r="F7" s="74"/>
      <c r="G7" s="75"/>
    </row>
    <row r="8" spans="1:7" ht="21" customHeight="1">
      <c r="A8" s="82"/>
      <c r="B8" s="8" t="s">
        <v>31</v>
      </c>
      <c r="C8" s="77" t="s">
        <v>113</v>
      </c>
      <c r="D8" s="77"/>
      <c r="E8" s="77"/>
      <c r="F8" s="77"/>
      <c r="G8" s="78"/>
    </row>
    <row r="9" spans="1:7" ht="21" customHeight="1">
      <c r="A9" s="82"/>
      <c r="B9" s="8" t="s">
        <v>32</v>
      </c>
      <c r="C9" s="74" t="s">
        <v>103</v>
      </c>
      <c r="D9" s="74"/>
      <c r="E9" s="74"/>
      <c r="F9" s="74"/>
      <c r="G9" s="75"/>
    </row>
    <row r="10" spans="1:7" ht="21" customHeight="1">
      <c r="A10" s="82"/>
      <c r="B10" s="8" t="s">
        <v>33</v>
      </c>
      <c r="C10" s="77" t="s">
        <v>104</v>
      </c>
      <c r="D10" s="77"/>
      <c r="E10" s="77"/>
      <c r="F10" s="77"/>
      <c r="G10" s="78"/>
    </row>
    <row r="11" spans="1:7" ht="21" customHeight="1">
      <c r="A11" s="82"/>
      <c r="B11" s="8" t="s">
        <v>34</v>
      </c>
      <c r="C11" s="76" t="s">
        <v>105</v>
      </c>
      <c r="D11" s="74"/>
      <c r="E11" s="74"/>
      <c r="F11" s="74"/>
      <c r="G11" s="75"/>
    </row>
    <row r="12" spans="1:7" ht="21" customHeight="1">
      <c r="A12" s="82"/>
      <c r="B12" s="8" t="s">
        <v>35</v>
      </c>
      <c r="C12" s="84" t="s">
        <v>78</v>
      </c>
      <c r="D12" s="77"/>
      <c r="E12" s="77"/>
      <c r="F12" s="77"/>
      <c r="G12" s="78"/>
    </row>
  </sheetData>
  <sheetProtection/>
  <mergeCells count="12">
    <mergeCell ref="A1:G1"/>
    <mergeCell ref="B2:E2"/>
    <mergeCell ref="A3:A5"/>
    <mergeCell ref="A6:A12"/>
    <mergeCell ref="C12:G12"/>
    <mergeCell ref="C4:E4"/>
    <mergeCell ref="C6:G6"/>
    <mergeCell ref="C8:G8"/>
    <mergeCell ref="C9:G9"/>
    <mergeCell ref="C7:G7"/>
    <mergeCell ref="C10:G10"/>
    <mergeCell ref="C11:G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G2" sqref="G2"/>
    </sheetView>
  </sheetViews>
  <sheetFormatPr defaultColWidth="9.00390625" defaultRowHeight="14.25"/>
  <cols>
    <col min="1" max="1" width="11.00390625" style="0" customWidth="1"/>
    <col min="2" max="4" width="11.375" style="0" customWidth="1"/>
    <col min="5" max="5" width="10.875" style="0" customWidth="1"/>
    <col min="6" max="6" width="12.375" style="0" customWidth="1"/>
    <col min="7" max="7" width="13.25390625" style="0" customWidth="1"/>
  </cols>
  <sheetData>
    <row r="1" spans="1:7" ht="26.25" customHeight="1">
      <c r="A1" s="79" t="s">
        <v>12</v>
      </c>
      <c r="B1" s="79"/>
      <c r="C1" s="79"/>
      <c r="D1" s="79"/>
      <c r="E1" s="79"/>
      <c r="F1" s="79"/>
      <c r="G1" s="79"/>
    </row>
    <row r="2" spans="1:7" ht="23.25" customHeight="1">
      <c r="A2" s="13" t="s">
        <v>13</v>
      </c>
      <c r="B2" s="80" t="s">
        <v>101</v>
      </c>
      <c r="C2" s="80"/>
      <c r="D2" s="80"/>
      <c r="E2" s="80"/>
      <c r="F2" s="1" t="s">
        <v>1</v>
      </c>
      <c r="G2" s="43">
        <v>41685</v>
      </c>
    </row>
    <row r="3" spans="1:7" ht="14.25">
      <c r="A3" s="90" t="s">
        <v>41</v>
      </c>
      <c r="B3" s="91"/>
      <c r="C3" s="81" t="s">
        <v>42</v>
      </c>
      <c r="D3" s="81" t="s">
        <v>43</v>
      </c>
      <c r="E3" s="2" t="s">
        <v>44</v>
      </c>
      <c r="F3" s="2" t="s">
        <v>45</v>
      </c>
      <c r="G3" s="2" t="s">
        <v>46</v>
      </c>
    </row>
    <row r="4" spans="1:7" ht="14.25">
      <c r="A4" s="92"/>
      <c r="B4" s="93"/>
      <c r="C4" s="83"/>
      <c r="D4" s="83"/>
      <c r="E4" s="5" t="s">
        <v>3</v>
      </c>
      <c r="F4" s="5" t="s">
        <v>4</v>
      </c>
      <c r="G4" s="5" t="s">
        <v>14</v>
      </c>
    </row>
    <row r="5" spans="1:7" ht="25.5" customHeight="1">
      <c r="A5" s="24">
        <v>1</v>
      </c>
      <c r="B5" s="8" t="s">
        <v>29</v>
      </c>
      <c r="C5" s="19" t="s">
        <v>79</v>
      </c>
      <c r="D5" s="19">
        <f>10777+12202+844.61</f>
        <v>23823.61</v>
      </c>
      <c r="E5" s="11">
        <f>310916.45+230609.92+59074.79</f>
        <v>600601.16</v>
      </c>
      <c r="F5" s="44">
        <f>E5/3642487.22*100</f>
        <v>16.488765058728195</v>
      </c>
      <c r="G5" s="44">
        <f>E5/(8944.5)</f>
        <v>67.14753871093968</v>
      </c>
    </row>
    <row r="6" spans="1:7" ht="25.5" customHeight="1">
      <c r="A6" s="24">
        <v>2</v>
      </c>
      <c r="B6" s="8" t="s">
        <v>52</v>
      </c>
      <c r="C6" s="21" t="s">
        <v>79</v>
      </c>
      <c r="D6" s="21">
        <f>8340.93</f>
        <v>8340.93</v>
      </c>
      <c r="E6" s="22">
        <v>383456.06</v>
      </c>
      <c r="F6" s="51">
        <f aca="true" t="shared" si="0" ref="F6:F23">E6/3642487.22*100</f>
        <v>10.527313806196414</v>
      </c>
      <c r="G6" s="45">
        <f>E6/(8944.5)</f>
        <v>42.87059757392811</v>
      </c>
    </row>
    <row r="7" spans="1:7" ht="25.5" customHeight="1">
      <c r="A7" s="24">
        <v>3</v>
      </c>
      <c r="B7" s="8" t="s">
        <v>53</v>
      </c>
      <c r="C7" s="19" t="s">
        <v>80</v>
      </c>
      <c r="D7" s="46">
        <f>(13686.89+10359.29)/2</f>
        <v>12023.09</v>
      </c>
      <c r="E7" s="11">
        <f>592292.74+84316.57+43168.21</f>
        <v>719777.52</v>
      </c>
      <c r="F7" s="71">
        <f t="shared" si="0"/>
        <v>19.760605227325957</v>
      </c>
      <c r="G7" s="44">
        <f>E7/(8944.5)</f>
        <v>80.47152104645313</v>
      </c>
    </row>
    <row r="8" spans="1:7" ht="25.5" customHeight="1">
      <c r="A8" s="24">
        <v>4</v>
      </c>
      <c r="B8" s="8" t="s">
        <v>54</v>
      </c>
      <c r="C8" s="21" t="s">
        <v>80</v>
      </c>
      <c r="D8" s="21">
        <f>7941+(65+938.5)</f>
        <v>8944.5</v>
      </c>
      <c r="E8" s="22">
        <f>1101338.68+132573.17+84277.72</f>
        <v>1318189.5699999998</v>
      </c>
      <c r="F8" s="51">
        <f t="shared" si="0"/>
        <v>36.18927096743526</v>
      </c>
      <c r="G8" s="45">
        <f>E8/(8944.5)</f>
        <v>147.3743160601487</v>
      </c>
    </row>
    <row r="9" spans="1:7" ht="25.5" customHeight="1">
      <c r="A9" s="24">
        <v>5</v>
      </c>
      <c r="B9" s="8" t="s">
        <v>55</v>
      </c>
      <c r="C9" s="19" t="s">
        <v>81</v>
      </c>
      <c r="D9" s="19">
        <f>2689+(130.84+20+55)</f>
        <v>2894.84</v>
      </c>
      <c r="E9" s="11">
        <f>294382.35+7732.9+35702.99</f>
        <v>337818.24</v>
      </c>
      <c r="F9" s="71">
        <f t="shared" si="0"/>
        <v>9.274383672374285</v>
      </c>
      <c r="G9" s="44">
        <f>E9/(8944.5)</f>
        <v>37.768264296495055</v>
      </c>
    </row>
    <row r="10" spans="1:7" ht="25.5" customHeight="1">
      <c r="A10" s="24">
        <v>6</v>
      </c>
      <c r="B10" s="8" t="s">
        <v>34</v>
      </c>
      <c r="C10" s="21"/>
      <c r="D10" s="21"/>
      <c r="E10" s="22"/>
      <c r="F10" s="51"/>
      <c r="G10" s="45"/>
    </row>
    <row r="11" spans="1:7" ht="25.5" customHeight="1">
      <c r="A11" s="24">
        <v>7</v>
      </c>
      <c r="B11" s="8" t="s">
        <v>56</v>
      </c>
      <c r="C11" s="19"/>
      <c r="D11" s="19"/>
      <c r="E11" s="11"/>
      <c r="F11" s="71"/>
      <c r="G11" s="44"/>
    </row>
    <row r="12" spans="1:7" ht="25.5" customHeight="1">
      <c r="A12" s="24">
        <v>8</v>
      </c>
      <c r="B12" s="8"/>
      <c r="C12" s="21"/>
      <c r="D12" s="21"/>
      <c r="E12" s="22"/>
      <c r="F12" s="51"/>
      <c r="G12" s="45"/>
    </row>
    <row r="13" spans="1:7" ht="25.5" customHeight="1">
      <c r="A13" s="24">
        <v>9</v>
      </c>
      <c r="B13" s="8"/>
      <c r="C13" s="19"/>
      <c r="D13" s="19"/>
      <c r="E13" s="11"/>
      <c r="F13" s="71"/>
      <c r="G13" s="44"/>
    </row>
    <row r="14" spans="1:7" ht="25.5" customHeight="1">
      <c r="A14" s="24" t="s">
        <v>5</v>
      </c>
      <c r="B14" s="3" t="s">
        <v>57</v>
      </c>
      <c r="C14" s="23"/>
      <c r="D14" s="23"/>
      <c r="E14" s="22">
        <v>3359842.55</v>
      </c>
      <c r="F14" s="51">
        <f t="shared" si="0"/>
        <v>92.24033873206011</v>
      </c>
      <c r="G14" s="51">
        <f>E14/(8944.5)</f>
        <v>375.6322376879647</v>
      </c>
    </row>
    <row r="15" spans="1:7" ht="25.5" customHeight="1">
      <c r="A15" s="81" t="s">
        <v>6</v>
      </c>
      <c r="B15" s="3" t="s">
        <v>47</v>
      </c>
      <c r="C15" s="47" t="s">
        <v>82</v>
      </c>
      <c r="D15" s="48">
        <v>4006.34</v>
      </c>
      <c r="E15" s="11">
        <v>187910.81</v>
      </c>
      <c r="F15" s="71">
        <f t="shared" si="0"/>
        <v>5.15885982985</v>
      </c>
      <c r="G15" s="71">
        <f>E15/(8944.5)</f>
        <v>21.00853149980435</v>
      </c>
    </row>
    <row r="16" spans="1:7" ht="25.5" customHeight="1">
      <c r="A16" s="82"/>
      <c r="B16" s="3" t="s">
        <v>48</v>
      </c>
      <c r="C16" s="23" t="s">
        <v>83</v>
      </c>
      <c r="D16" s="23"/>
      <c r="E16" s="22">
        <v>2384347.43</v>
      </c>
      <c r="F16" s="51">
        <f t="shared" si="0"/>
        <v>65.45932177628889</v>
      </c>
      <c r="G16" s="51">
        <f aca="true" t="shared" si="1" ref="G16:G23">E16/(8944.5)</f>
        <v>266.5713488736095</v>
      </c>
    </row>
    <row r="17" spans="1:7" ht="25.5" customHeight="1">
      <c r="A17" s="82"/>
      <c r="B17" s="3" t="s">
        <v>49</v>
      </c>
      <c r="C17" s="20" t="s">
        <v>84</v>
      </c>
      <c r="D17" s="20"/>
      <c r="E17" s="49">
        <v>672990.54</v>
      </c>
      <c r="F17" s="71">
        <f t="shared" si="0"/>
        <v>18.476126321178967</v>
      </c>
      <c r="G17" s="71">
        <f t="shared" si="1"/>
        <v>75.24071105148415</v>
      </c>
    </row>
    <row r="18" spans="1:7" ht="25.5" customHeight="1">
      <c r="A18" s="82"/>
      <c r="B18" s="3" t="s">
        <v>50</v>
      </c>
      <c r="C18" s="23" t="s">
        <v>84</v>
      </c>
      <c r="D18" s="23"/>
      <c r="E18" s="50">
        <v>65991.53</v>
      </c>
      <c r="F18" s="51">
        <f t="shared" si="0"/>
        <v>1.8117161712375203</v>
      </c>
      <c r="G18" s="51">
        <f t="shared" si="1"/>
        <v>7.377889205657108</v>
      </c>
    </row>
    <row r="19" spans="1:7" ht="25.5" customHeight="1">
      <c r="A19" s="83"/>
      <c r="B19" s="3" t="s">
        <v>51</v>
      </c>
      <c r="C19" s="20" t="s">
        <v>84</v>
      </c>
      <c r="D19" s="20"/>
      <c r="E19" s="49">
        <v>48602.29</v>
      </c>
      <c r="F19" s="71">
        <f t="shared" si="0"/>
        <v>1.3343160061931527</v>
      </c>
      <c r="G19" s="71">
        <f t="shared" si="1"/>
        <v>5.433762647436972</v>
      </c>
    </row>
    <row r="20" spans="1:7" ht="25.5" customHeight="1">
      <c r="A20" s="24" t="s">
        <v>7</v>
      </c>
      <c r="B20" s="3" t="s">
        <v>58</v>
      </c>
      <c r="C20" s="23" t="s">
        <v>84</v>
      </c>
      <c r="D20" s="23"/>
      <c r="E20" s="50">
        <v>72722.73</v>
      </c>
      <c r="F20" s="51">
        <f t="shared" si="0"/>
        <v>1.9965129760976894</v>
      </c>
      <c r="G20" s="51">
        <f t="shared" si="1"/>
        <v>8.13044105316116</v>
      </c>
    </row>
    <row r="21" spans="1:7" ht="25.5" customHeight="1">
      <c r="A21" s="24" t="s">
        <v>8</v>
      </c>
      <c r="B21" s="3" t="s">
        <v>59</v>
      </c>
      <c r="C21" s="20" t="s">
        <v>84</v>
      </c>
      <c r="D21" s="20"/>
      <c r="E21" s="11">
        <v>0</v>
      </c>
      <c r="F21" s="71">
        <f t="shared" si="0"/>
        <v>0</v>
      </c>
      <c r="G21" s="71">
        <f t="shared" si="1"/>
        <v>0</v>
      </c>
    </row>
    <row r="22" spans="1:7" ht="25.5" customHeight="1">
      <c r="A22" s="24" t="s">
        <v>9</v>
      </c>
      <c r="B22" s="3" t="s">
        <v>60</v>
      </c>
      <c r="C22" s="23" t="s">
        <v>84</v>
      </c>
      <c r="D22" s="23"/>
      <c r="E22" s="50">
        <v>76608.43</v>
      </c>
      <c r="F22" s="51">
        <f t="shared" si="0"/>
        <v>2.103190083395817</v>
      </c>
      <c r="G22" s="51">
        <f t="shared" si="1"/>
        <v>8.564864441835764</v>
      </c>
    </row>
    <row r="23" spans="1:7" ht="25.5" customHeight="1">
      <c r="A23" s="24" t="s">
        <v>10</v>
      </c>
      <c r="B23" s="3" t="s">
        <v>61</v>
      </c>
      <c r="C23" s="20" t="s">
        <v>85</v>
      </c>
      <c r="D23" s="20"/>
      <c r="E23" s="49">
        <v>133313.51</v>
      </c>
      <c r="F23" s="71">
        <f t="shared" si="0"/>
        <v>3.6599582084463704</v>
      </c>
      <c r="G23" s="71">
        <f t="shared" si="1"/>
        <v>14.904523450164907</v>
      </c>
    </row>
    <row r="24" spans="1:7" ht="25.5" customHeight="1">
      <c r="A24" s="88" t="s">
        <v>11</v>
      </c>
      <c r="B24" s="89"/>
      <c r="C24" s="9"/>
      <c r="D24" s="9"/>
      <c r="E24" s="51">
        <f>SUM(E20:E23)+E14</f>
        <v>3642487.2199999997</v>
      </c>
      <c r="F24" s="51">
        <f>SUM(F20:F23)+F14</f>
        <v>99.99999999999999</v>
      </c>
      <c r="G24" s="51">
        <f>SUM(G20:G23)+G14</f>
        <v>407.2320666331265</v>
      </c>
    </row>
  </sheetData>
  <sheetProtection/>
  <mergeCells count="7">
    <mergeCell ref="A15:A19"/>
    <mergeCell ref="A24:B24"/>
    <mergeCell ref="B2:E2"/>
    <mergeCell ref="A1:G1"/>
    <mergeCell ref="C3:C4"/>
    <mergeCell ref="D3:D4"/>
    <mergeCell ref="A3:B4"/>
  </mergeCells>
  <printOptions/>
  <pageMargins left="0.75" right="0.75" top="1" bottom="1" header="0.5" footer="0.5"/>
  <pageSetup horizontalDpi="150" verticalDpi="15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F2" sqref="F2"/>
    </sheetView>
  </sheetViews>
  <sheetFormatPr defaultColWidth="9.00390625" defaultRowHeight="14.25"/>
  <cols>
    <col min="1" max="1" width="11.00390625" style="0" customWidth="1"/>
    <col min="2" max="2" width="16.875" style="0" customWidth="1"/>
    <col min="4" max="4" width="14.625" style="0" customWidth="1"/>
    <col min="5" max="5" width="11.875" style="0" customWidth="1"/>
    <col min="6" max="6" width="13.875" style="0" customWidth="1"/>
  </cols>
  <sheetData>
    <row r="1" spans="1:6" ht="18" customHeight="1">
      <c r="A1" s="79" t="s">
        <v>16</v>
      </c>
      <c r="B1" s="79"/>
      <c r="C1" s="79"/>
      <c r="D1" s="79"/>
      <c r="E1" s="79"/>
      <c r="F1" s="79"/>
    </row>
    <row r="2" spans="1:6" ht="15" thickBot="1">
      <c r="A2" s="25" t="s">
        <v>15</v>
      </c>
      <c r="B2" s="98" t="s">
        <v>101</v>
      </c>
      <c r="C2" s="98"/>
      <c r="D2" s="98"/>
      <c r="E2" s="1" t="s">
        <v>1</v>
      </c>
      <c r="F2" s="59">
        <v>41685</v>
      </c>
    </row>
    <row r="3" spans="1:6" ht="14.25" customHeight="1">
      <c r="A3" s="96" t="s">
        <v>62</v>
      </c>
      <c r="B3" s="99" t="s">
        <v>63</v>
      </c>
      <c r="C3" s="26" t="s">
        <v>64</v>
      </c>
      <c r="D3" s="26" t="s">
        <v>66</v>
      </c>
      <c r="E3" s="26" t="s">
        <v>45</v>
      </c>
      <c r="F3" s="27" t="s">
        <v>2</v>
      </c>
    </row>
    <row r="4" spans="1:6" ht="22.5" customHeight="1">
      <c r="A4" s="97"/>
      <c r="B4" s="100"/>
      <c r="C4" s="14" t="s">
        <v>65</v>
      </c>
      <c r="D4" s="14" t="s">
        <v>67</v>
      </c>
      <c r="E4" s="14" t="s">
        <v>4</v>
      </c>
      <c r="F4" s="28" t="s">
        <v>18</v>
      </c>
    </row>
    <row r="5" spans="1:6" ht="24" customHeight="1">
      <c r="A5" s="29">
        <v>1</v>
      </c>
      <c r="B5" s="52" t="s">
        <v>86</v>
      </c>
      <c r="C5" s="54">
        <f>26868.15+3109.16+5466.05+2246.03+2306.1+590.75</f>
        <v>40586.24</v>
      </c>
      <c r="D5" s="56">
        <f>C5/'费用组成分析'!E14*100</f>
        <v>1.2079804156298932</v>
      </c>
      <c r="E5" s="56">
        <f aca="true" t="shared" si="0" ref="E5:E10">C5/3642487.22*100</f>
        <v>1.1142452271939611</v>
      </c>
      <c r="F5" s="58">
        <f aca="true" t="shared" si="1" ref="F5:F10">C5/(8944.5)</f>
        <v>4.537563866062944</v>
      </c>
    </row>
    <row r="6" spans="1:6" ht="24" customHeight="1">
      <c r="A6" s="31">
        <v>2</v>
      </c>
      <c r="B6" s="53" t="s">
        <v>87</v>
      </c>
      <c r="C6" s="55">
        <f>1865.5</f>
        <v>1865.5</v>
      </c>
      <c r="D6" s="57">
        <f>C6/'费用组成分析'!E14*100</f>
        <v>0.05552343516811525</v>
      </c>
      <c r="E6" s="57">
        <f t="shared" si="0"/>
        <v>0.051215004674745296</v>
      </c>
      <c r="F6" s="57">
        <f t="shared" si="1"/>
        <v>0.20856392196321763</v>
      </c>
    </row>
    <row r="7" spans="1:6" ht="24" customHeight="1">
      <c r="A7" s="29">
        <v>3</v>
      </c>
      <c r="B7" s="52" t="s">
        <v>88</v>
      </c>
      <c r="C7" s="54">
        <f>3467.71+3788.79+3467.71</f>
        <v>10724.21</v>
      </c>
      <c r="D7" s="56">
        <f>C7/'费用组成分析'!E14*100</f>
        <v>0.3191878738484337</v>
      </c>
      <c r="E7" s="72">
        <f t="shared" si="0"/>
        <v>0.294419976029456</v>
      </c>
      <c r="F7" s="72">
        <f t="shared" si="1"/>
        <v>1.1989725529655095</v>
      </c>
    </row>
    <row r="8" spans="1:6" ht="24" customHeight="1">
      <c r="A8" s="31">
        <v>4</v>
      </c>
      <c r="B8" s="53" t="s">
        <v>89</v>
      </c>
      <c r="C8" s="17"/>
      <c r="D8" s="57">
        <f>C8/'费用组成分析'!E14*100</f>
        <v>0</v>
      </c>
      <c r="E8" s="57">
        <f t="shared" si="0"/>
        <v>0</v>
      </c>
      <c r="F8" s="57">
        <f t="shared" si="1"/>
        <v>0</v>
      </c>
    </row>
    <row r="9" spans="1:6" ht="24" customHeight="1">
      <c r="A9" s="29">
        <v>5</v>
      </c>
      <c r="B9" s="52" t="s">
        <v>90</v>
      </c>
      <c r="C9" s="54">
        <f>9940.07+3109.16+2733.02+1123.11+2306.1+295.37</f>
        <v>19506.829999999998</v>
      </c>
      <c r="D9" s="56">
        <f>C9/'费用组成分析'!E14*100</f>
        <v>0.5805876230718013</v>
      </c>
      <c r="E9" s="72">
        <f t="shared" si="0"/>
        <v>0.535535990157846</v>
      </c>
      <c r="F9" s="72">
        <f t="shared" si="1"/>
        <v>2.180874280283973</v>
      </c>
    </row>
    <row r="10" spans="1:6" ht="24" customHeight="1">
      <c r="A10" s="31">
        <v>6</v>
      </c>
      <c r="B10" s="53" t="s">
        <v>91</v>
      </c>
      <c r="C10" s="55">
        <f>2982.02+466.37+819.91+336.93+345.91+88.61</f>
        <v>5039.75</v>
      </c>
      <c r="D10" s="57">
        <f>C10/'费用组成分析'!E14*100</f>
        <v>0.1499995885223848</v>
      </c>
      <c r="E10" s="57">
        <f t="shared" si="0"/>
        <v>0.13836012854974408</v>
      </c>
      <c r="F10" s="57">
        <f t="shared" si="1"/>
        <v>0.5634468108893733</v>
      </c>
    </row>
    <row r="11" spans="1:6" ht="14.25">
      <c r="A11" s="94" t="s">
        <v>17</v>
      </c>
      <c r="B11" s="95"/>
      <c r="C11" s="95"/>
      <c r="D11" s="95"/>
      <c r="E11" s="95"/>
      <c r="F11" s="95"/>
    </row>
  </sheetData>
  <sheetProtection/>
  <mergeCells count="5">
    <mergeCell ref="A11:F11"/>
    <mergeCell ref="A3:A4"/>
    <mergeCell ref="A1:F1"/>
    <mergeCell ref="B2:D2"/>
    <mergeCell ref="B3:B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G2" sqref="G2"/>
    </sheetView>
  </sheetViews>
  <sheetFormatPr defaultColWidth="9.00390625" defaultRowHeight="14.25"/>
  <cols>
    <col min="1" max="1" width="11.625" style="0" customWidth="1"/>
    <col min="2" max="2" width="13.50390625" style="0" customWidth="1"/>
    <col min="6" max="6" width="12.375" style="0" customWidth="1"/>
    <col min="7" max="7" width="13.375" style="0" customWidth="1"/>
  </cols>
  <sheetData>
    <row r="1" spans="1:7" ht="18">
      <c r="A1" s="79" t="s">
        <v>22</v>
      </c>
      <c r="B1" s="79"/>
      <c r="C1" s="79"/>
      <c r="D1" s="79"/>
      <c r="E1" s="79"/>
      <c r="F1" s="79"/>
      <c r="G1" s="79"/>
    </row>
    <row r="2" spans="1:7" ht="21" customHeight="1">
      <c r="A2" s="13" t="s">
        <v>15</v>
      </c>
      <c r="B2" s="80" t="s">
        <v>101</v>
      </c>
      <c r="C2" s="80"/>
      <c r="D2" s="80"/>
      <c r="E2" s="80"/>
      <c r="F2" s="1" t="s">
        <v>1</v>
      </c>
      <c r="G2" s="60">
        <v>41685</v>
      </c>
    </row>
    <row r="3" spans="1:7" ht="19.5" customHeight="1">
      <c r="A3" s="70" t="s">
        <v>23</v>
      </c>
      <c r="B3" s="101" t="s">
        <v>41</v>
      </c>
      <c r="C3" s="101" t="s">
        <v>68</v>
      </c>
      <c r="D3" s="32" t="s">
        <v>69</v>
      </c>
      <c r="E3" s="101" t="s">
        <v>70</v>
      </c>
      <c r="F3" s="32" t="s">
        <v>71</v>
      </c>
      <c r="G3" s="33" t="s">
        <v>73</v>
      </c>
    </row>
    <row r="4" spans="1:7" ht="19.5" customHeight="1">
      <c r="A4" s="102"/>
      <c r="B4" s="66"/>
      <c r="C4" s="103"/>
      <c r="D4" s="14" t="s">
        <v>3</v>
      </c>
      <c r="E4" s="103"/>
      <c r="F4" s="14" t="s">
        <v>72</v>
      </c>
      <c r="G4" s="34" t="s">
        <v>74</v>
      </c>
    </row>
    <row r="5" spans="1:7" ht="19.5" customHeight="1">
      <c r="A5" s="37">
        <v>1</v>
      </c>
      <c r="B5" s="38" t="s">
        <v>19</v>
      </c>
      <c r="C5" s="30" t="s">
        <v>20</v>
      </c>
      <c r="D5" s="15">
        <v>187910.81</v>
      </c>
      <c r="E5" s="56">
        <v>4006.34</v>
      </c>
      <c r="F5" s="56">
        <f>D5/(8944.5)</f>
        <v>21.00853149980435</v>
      </c>
      <c r="G5" s="65">
        <f>E5/(8944.5)</f>
        <v>0.44791100676393314</v>
      </c>
    </row>
    <row r="6" spans="1:7" ht="19.5" customHeight="1">
      <c r="A6" s="42">
        <v>2</v>
      </c>
      <c r="B6" s="39" t="s">
        <v>92</v>
      </c>
      <c r="C6" s="18" t="s">
        <v>93</v>
      </c>
      <c r="D6" s="17">
        <f>284.15+76.27+11352.54</f>
        <v>11712.960000000001</v>
      </c>
      <c r="E6" s="57">
        <f>(861.07+231.12+34930.9)/1000</f>
        <v>36.02309</v>
      </c>
      <c r="F6" s="57">
        <f aca="true" t="shared" si="0" ref="F6:F13">D6/(8944.5)</f>
        <v>1.3095153446251888</v>
      </c>
      <c r="G6" s="57">
        <f aca="true" t="shared" si="1" ref="G6:G13">E6/(8944.5)</f>
        <v>0.004027401196265862</v>
      </c>
    </row>
    <row r="7" spans="1:7" ht="19.5" customHeight="1">
      <c r="A7" s="37">
        <v>3</v>
      </c>
      <c r="B7" s="41" t="s">
        <v>94</v>
      </c>
      <c r="C7" s="16" t="s">
        <v>93</v>
      </c>
      <c r="D7" s="15">
        <f>160.7+46.07+7004</f>
        <v>7210.77</v>
      </c>
      <c r="E7" s="56">
        <f>2.36+0.68+103</f>
        <v>106.04</v>
      </c>
      <c r="F7" s="72">
        <f t="shared" si="0"/>
        <v>0.8061680362233775</v>
      </c>
      <c r="G7" s="72">
        <f t="shared" si="1"/>
        <v>0.011855330091117448</v>
      </c>
    </row>
    <row r="8" spans="1:7" ht="19.5" customHeight="1">
      <c r="A8" s="42">
        <v>4</v>
      </c>
      <c r="B8" s="40" t="s">
        <v>95</v>
      </c>
      <c r="C8" s="18" t="s">
        <v>93</v>
      </c>
      <c r="D8" s="17">
        <f>440.44+124.83+17696.41</f>
        <v>18261.68</v>
      </c>
      <c r="E8" s="57">
        <f>7.99+2.27+321.75</f>
        <v>332.01</v>
      </c>
      <c r="F8" s="57">
        <f t="shared" si="0"/>
        <v>2.041665828162558</v>
      </c>
      <c r="G8" s="57">
        <f t="shared" si="1"/>
        <v>0.03711889988260943</v>
      </c>
    </row>
    <row r="9" spans="1:7" ht="19.5" customHeight="1">
      <c r="A9" s="37">
        <v>5</v>
      </c>
      <c r="B9" s="41" t="s">
        <v>96</v>
      </c>
      <c r="C9" s="16" t="s">
        <v>93</v>
      </c>
      <c r="D9" s="15">
        <f>19099.37+191328.49+71112.67</f>
        <v>281540.52999999997</v>
      </c>
      <c r="E9" s="56">
        <f>77.95+780.93+290.25</f>
        <v>1149.13</v>
      </c>
      <c r="F9" s="72">
        <f t="shared" si="0"/>
        <v>31.47638548828889</v>
      </c>
      <c r="G9" s="72">
        <f t="shared" si="1"/>
        <v>0.12847336351948127</v>
      </c>
    </row>
    <row r="10" spans="1:7" ht="19.5" customHeight="1">
      <c r="A10" s="42">
        <v>6</v>
      </c>
      <c r="B10" s="40" t="s">
        <v>97</v>
      </c>
      <c r="C10" s="18" t="s">
        <v>93</v>
      </c>
      <c r="D10" s="17">
        <f>53136.96+63912.8+69429.1+998567.74</f>
        <v>1185046.6</v>
      </c>
      <c r="E10" s="57">
        <f>109.34+155.88+157.31+2260.79</f>
        <v>2683.32</v>
      </c>
      <c r="F10" s="57">
        <f t="shared" si="0"/>
        <v>132.4888590754095</v>
      </c>
      <c r="G10" s="57">
        <f t="shared" si="1"/>
        <v>0.29999664598356535</v>
      </c>
    </row>
    <row r="11" spans="1:7" ht="19.5" customHeight="1">
      <c r="A11" s="73">
        <v>7</v>
      </c>
      <c r="B11" s="41" t="s">
        <v>98</v>
      </c>
      <c r="C11" s="16" t="s">
        <v>93</v>
      </c>
      <c r="D11" s="15">
        <f>4223.25+2505.15+35734.5</f>
        <v>42462.9</v>
      </c>
      <c r="E11" s="56">
        <f>0.94+0.55+7.94</f>
        <v>9.43</v>
      </c>
      <c r="F11" s="56">
        <f t="shared" si="0"/>
        <v>4.747375482139863</v>
      </c>
      <c r="G11" s="65">
        <f t="shared" si="1"/>
        <v>0.0010542791659679132</v>
      </c>
    </row>
    <row r="12" spans="1:7" ht="19.5" customHeight="1">
      <c r="A12" s="42">
        <v>8</v>
      </c>
      <c r="B12" s="40" t="s">
        <v>109</v>
      </c>
      <c r="C12" s="18" t="s">
        <v>110</v>
      </c>
      <c r="D12" s="17">
        <f>39437.83+31462.94+373134.89</f>
        <v>444035.66000000003</v>
      </c>
      <c r="E12" s="17">
        <f>191.44+152.73+1811.33</f>
        <v>2155.5</v>
      </c>
      <c r="F12" s="57">
        <f t="shared" si="0"/>
        <v>49.6434300408072</v>
      </c>
      <c r="G12" s="57">
        <f t="shared" si="1"/>
        <v>0.24098608083179607</v>
      </c>
    </row>
    <row r="13" spans="1:7" ht="19.5" customHeight="1">
      <c r="A13" s="37">
        <v>9</v>
      </c>
      <c r="B13" s="41" t="s">
        <v>111</v>
      </c>
      <c r="C13" s="16" t="s">
        <v>112</v>
      </c>
      <c r="D13" s="15">
        <f>4912.6+1786.4+218359.79</f>
        <v>225058.79</v>
      </c>
      <c r="E13" s="15">
        <f>55.82+20.3+2729.49</f>
        <v>2805.6099999999997</v>
      </c>
      <c r="F13" s="56">
        <f t="shared" si="0"/>
        <v>25.161696014310472</v>
      </c>
      <c r="G13" s="65">
        <f t="shared" si="1"/>
        <v>0.31366873497680137</v>
      </c>
    </row>
    <row r="14" spans="1:7" ht="19.5" customHeight="1">
      <c r="A14" s="42">
        <v>10</v>
      </c>
      <c r="B14" s="40"/>
      <c r="C14" s="18"/>
      <c r="D14" s="17"/>
      <c r="E14" s="17"/>
      <c r="F14" s="57"/>
      <c r="G14" s="62"/>
    </row>
    <row r="15" spans="1:7" ht="19.5" customHeight="1">
      <c r="A15" s="37">
        <v>11</v>
      </c>
      <c r="B15" s="41"/>
      <c r="C15" s="16"/>
      <c r="D15" s="15"/>
      <c r="E15" s="15"/>
      <c r="F15" s="56"/>
      <c r="G15" s="61"/>
    </row>
    <row r="16" spans="1:7" ht="19.5" customHeight="1">
      <c r="A16" s="42">
        <v>12</v>
      </c>
      <c r="B16" s="40"/>
      <c r="C16" s="18"/>
      <c r="D16" s="17"/>
      <c r="E16" s="17"/>
      <c r="F16" s="57"/>
      <c r="G16" s="62"/>
    </row>
    <row r="17" spans="1:7" ht="19.5" customHeight="1">
      <c r="A17" s="37">
        <v>13</v>
      </c>
      <c r="B17" s="41"/>
      <c r="C17" s="16"/>
      <c r="D17" s="15"/>
      <c r="E17" s="15"/>
      <c r="F17" s="56"/>
      <c r="G17" s="61"/>
    </row>
    <row r="18" spans="1:7" ht="19.5" customHeight="1">
      <c r="A18" s="42">
        <v>14</v>
      </c>
      <c r="B18" s="40"/>
      <c r="C18" s="35"/>
      <c r="D18" s="36"/>
      <c r="E18" s="36"/>
      <c r="F18" s="63"/>
      <c r="G18" s="64"/>
    </row>
    <row r="19" spans="1:7" ht="19.5" customHeight="1">
      <c r="A19" s="12" t="s">
        <v>21</v>
      </c>
      <c r="B19" s="67"/>
      <c r="C19" s="68"/>
      <c r="D19" s="68"/>
      <c r="E19" s="68"/>
      <c r="F19" s="68"/>
      <c r="G19" s="69"/>
    </row>
  </sheetData>
  <sheetProtection/>
  <mergeCells count="7">
    <mergeCell ref="B3:B4"/>
    <mergeCell ref="B2:E2"/>
    <mergeCell ref="B19:G19"/>
    <mergeCell ref="A1:G1"/>
    <mergeCell ref="A3:A4"/>
    <mergeCell ref="C3:C4"/>
    <mergeCell ref="E3:E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51868988</cp:lastModifiedBy>
  <dcterms:created xsi:type="dcterms:W3CDTF">2008-11-17T01:19:59Z</dcterms:created>
  <dcterms:modified xsi:type="dcterms:W3CDTF">2015-03-12T07:30:21Z</dcterms:modified>
  <cp:category/>
  <cp:version/>
  <cp:contentType/>
  <cp:contentStatus/>
</cp:coreProperties>
</file>